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5.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B4F2099-BCBF-4D16-B205-11F819E88DA7}" xr6:coauthVersionLast="47" xr6:coauthVersionMax="47" xr10:uidLastSave="{00000000-0000-0000-0000-000000000000}"/>
  <workbookProtection workbookAlgorithmName="SHA-512" workbookHashValue="fHJ6UVU/vXWkiviAxxNYTN1KL0+5tlHmfhE3HZg9NsjEBoedN4qjxoW5FwJv1G9fCjUNvA1X+UQorXZq6wvfZw==" workbookSaltValue="YqQeKs6lnxFyz8sD6PKQ+Q==" workbookSpinCount="100000" lockStructure="1"/>
  <bookViews>
    <workbookView xWindow="-120" yWindow="-120" windowWidth="29040" windowHeight="15840" tabRatio="881" xr2:uid="{00000000-000D-0000-FFFF-FFFF00000000}"/>
  </bookViews>
  <sheets>
    <sheet name="①製品審査申請書（工業会用）" sheetId="31" r:id="rId1"/>
    <sheet name="②製品審査申請書（事務局用）" sheetId="38" r:id="rId2"/>
    <sheet name="③納品実績報告書" sheetId="39" r:id="rId3"/>
    <sheet name="④省力化製品製造事業者登録申請書" sheetId="40" r:id="rId4"/>
    <sheet name="⑤カタログ掲載情報" sheetId="41" r:id="rId5"/>
    <sheet name="⑥提出書類一覧" sheetId="42" r:id="rId6"/>
    <sheet name="変更履歴" sheetId="36" state="veryHidden" r:id="rId7"/>
    <sheet name="審査結果サマリ" sheetId="37" state="veryHidden" r:id="rId8"/>
    <sheet name="凡例" sheetId="4" state="veryHidden" r:id="rId9"/>
    <sheet name="審査結果（倉庫業－小規模）" sheetId="5" r:id="rId10"/>
    <sheet name="審査結果（倉庫業－中規模） " sheetId="29" r:id="rId11"/>
    <sheet name="審査結果（倉庫業－大規模）" sheetId="30" r:id="rId12"/>
    <sheet name="利用が想定される中小企業（倉庫業）" sheetId="6" r:id="rId13"/>
    <sheet name="審査結果（卸売業－小規模）" sheetId="25" r:id="rId14"/>
    <sheet name="審査結果（卸売業－中規模）" sheetId="26" r:id="rId15"/>
    <sheet name="審査結果（卸売業－大規模）" sheetId="27" r:id="rId16"/>
    <sheet name="利用が想定される中小企業（卸売業）" sheetId="24" r:id="rId17"/>
    <sheet name="審査結果（小売業－小規模）" sheetId="21" r:id="rId18"/>
    <sheet name="審査結果（小売業－中規模）" sheetId="22" r:id="rId19"/>
    <sheet name="審査結果（小売業－大規模）" sheetId="23" r:id="rId20"/>
    <sheet name="利用が想定される中小企業（小売業）" sheetId="20" r:id="rId21"/>
    <sheet name="審査結果（製造業－小規模）" sheetId="14" r:id="rId22"/>
    <sheet name="審査結果（製造業－中規模）" sheetId="16" r:id="rId23"/>
    <sheet name="審査結果（製造業－大規模）" sheetId="17" r:id="rId24"/>
    <sheet name="利用が想定される中小企業（製造業）" sheetId="28" r:id="rId25"/>
  </sheets>
  <definedNames>
    <definedName name="_xlnm.Print_Area" localSheetId="0">'①製品審査申請書（工業会用）'!$A$1:$K$71</definedName>
    <definedName name="_xlnm.Print_Area" localSheetId="1">'②製品審査申請書（事務局用）'!$A$1:$AU$159</definedName>
    <definedName name="_xlnm.Print_Area" localSheetId="2">③納品実績報告書!$A$1:$F$209</definedName>
    <definedName name="_xlnm.Print_Area" localSheetId="3">④省力化製品製造事業者登録申請書!$A$1:$AU$111</definedName>
    <definedName name="_xlnm.Print_Area" localSheetId="4">⑤カタログ掲載情報!$A$1:$AV$18</definedName>
    <definedName name="_xlnm.Print_Area" localSheetId="5">⑥提出書類一覧!$A$1:$AW$96</definedName>
    <definedName name="_xlnm.Print_Area" localSheetId="23">'審査結果（製造業－大規模）'!$A$1:$R$50</definedName>
    <definedName name="_xlnm.Print_Area" localSheetId="22">'審査結果（製造業－中規模）'!$A$1:$R$50</definedName>
    <definedName name="_xlnm.Print_Area" localSheetId="16">'利用が想定される中小企業（卸売業）'!$A$1:$G$12</definedName>
    <definedName name="_xlnm.Print_Area" localSheetId="20">'利用が想定される中小企業（小売業）'!$A$1:$G$12</definedName>
    <definedName name="_xlnm.Print_Area" localSheetId="24">'利用が想定される中小企業（製造業）'!$A$1:$G$13</definedName>
    <definedName name="_xlnm.Print_Area" localSheetId="12">'利用が想定される中小企業（倉庫業）'!$A$1:$G$11</definedName>
    <definedName name="_xlnm.Print_Titles" localSheetId="2">③納品実績報告書!$8:$9</definedName>
    <definedName name="ルート設定方法">'①製品審査申請書（工業会用）'!$E$42</definedName>
    <definedName name="機器費用">'①製品審査申請書（工業会用）'!$E$49</definedName>
    <definedName name="型番">'①製品審査申請書（工業会用）'!$C$6</definedName>
    <definedName name="最大搬送重量">'①製品審査申請書（工業会用）'!$E$40</definedName>
    <definedName name="事業者URL">④省力化製品製造事業者登録申請書!$J$12</definedName>
    <definedName name="所在地">④省力化製品製造事業者登録申請書!$J$10</definedName>
    <definedName name="省指_卸売小" comment="卸売業ｰ小規模　省力化指数">'審査結果（卸売業－小規模）'!$O$28</definedName>
    <definedName name="省指_卸売大" comment="卸売業ｰ大規模　省力化指数">'審査結果（卸売業－大規模）'!$O$28</definedName>
    <definedName name="省指_卸売中" comment="卸売業ｰ中規模　省力化指数">'審査結果（卸売業－中規模）'!$O$28</definedName>
    <definedName name="省指_小売小" comment="小売業ｰ小規模　省力化指数">'審査結果（小売業－小規模）'!$O$28</definedName>
    <definedName name="省指_小売大" comment="小売業ｰ大規模　省力化指数">'審査結果（小売業－大規模）'!$O$28</definedName>
    <definedName name="省指_小売中" comment="小売業ｰ中規模　省力化指数">'審査結果（小売業－中規模）'!$O$28</definedName>
    <definedName name="省指_製造小" comment="製造業ｰ小規模　省力化指数">'審査結果（製造業－小規模）'!$O$28</definedName>
    <definedName name="省指_製造大" comment="製造業ｰ大規模　省力化指数">'審査結果（製造業－大規模）'!$O$28</definedName>
    <definedName name="省指_製造中" comment="製造業ｰ中規模　省力化指数">'審査結果（製造業－中規模）'!$O$28</definedName>
    <definedName name="省指_倉庫小" comment="倉庫業ｰ小規模　省力化指数">'審査結果（倉庫業－小規模）'!$O$28</definedName>
    <definedName name="省指_倉庫大" comment="倉庫業ｰ大規模　省力化指数">'審査結果（倉庫業－大規模）'!$O$28</definedName>
    <definedName name="省指_倉庫中" comment="倉庫業ｰ中規模　省力化指数">'審査結果（倉庫業－中規模） '!$O$28</definedName>
    <definedName name="審1_卸売小" comment="卸売業ｰ小規模　審査結果1">'審査結果（卸売業－小規模）'!$O$31</definedName>
    <definedName name="審1_卸売大" comment="卸売業ｰ大規模　審査結果1">'審査結果（卸売業－大規模）'!$O$31</definedName>
    <definedName name="審1_卸売中" comment="卸売業ｰ中規模　審査結果1">'審査結果（卸売業－中規模）'!$O$31</definedName>
    <definedName name="審1_小売小" comment="小売業ｰ小規模　審査結果1">'審査結果（小売業－小規模）'!$O$31</definedName>
    <definedName name="審1_小売大" comment="小売業ｰ大規模　審査結果1">'審査結果（小売業－大規模）'!$O$31</definedName>
    <definedName name="審1_小売中" comment="小売業ｰ中規模　審査結果1">'審査結果（小売業－中規模）'!$O$31</definedName>
    <definedName name="審1_製造小" comment="製造業ｰ小規模　審査結果1">'審査結果（製造業－小規模）'!$O$31</definedName>
    <definedName name="審1_製造大" comment="製造業ｰ大規模　審査結果1">'審査結果（製造業－大規模）'!$O$31</definedName>
    <definedName name="審1_製造中" comment="製造業ｰ中規模　審査結果1">'審査結果（製造業－中規模）'!$O$31</definedName>
    <definedName name="審1_倉庫小" comment="倉庫業ｰ小規模　審査結果1">'審査結果（倉庫業－小規模）'!$O$31</definedName>
    <definedName name="審1_倉庫大" comment="倉庫業ｰ大規模　審査結果1">'審査結果（倉庫業－大規模）'!$O$31</definedName>
    <definedName name="審1_倉庫中" comment="倉庫業ｰ中規模　審査結果1">'審査結果（倉庫業－中規模） '!$O$31</definedName>
    <definedName name="審2_卸売小" comment="卸売業ｰ小規模　審査結果2">'審査結果（卸売業－小規模）'!$O$48</definedName>
    <definedName name="審2_卸売大" comment="卸売業ｰ大規模　審査結果2">'審査結果（卸売業－大規模）'!$O$48</definedName>
    <definedName name="審2_卸売中" comment="卸売業ｰ中規模　審査結果2">'審査結果（卸売業－中規模）'!$O$48</definedName>
    <definedName name="審2_小売小" comment="小売業ｰ小規模　審査結果2">'審査結果（小売業－小規模）'!$O$48</definedName>
    <definedName name="審2_小売大" comment="小売業ｰ大規模　審査結果2">'審査結果（小売業－大規模）'!$O$48</definedName>
    <definedName name="審2_小売中" comment="小売業ｰ中規模　審査結果2">'審査結果（小売業－中規模）'!$O$48</definedName>
    <definedName name="審2_製造小" comment="製造業ｰ小規模　審査結果2">'審査結果（製造業－小規模）'!$O$48</definedName>
    <definedName name="審2_製造大" comment="製造業ｰ大規模　審査結果2">'審査結果（製造業－大規模）'!$O$48</definedName>
    <definedName name="審2_製造中" comment="製造業ｰ中規模　審査結果2">'審査結果（製造業－中規模）'!$O$48</definedName>
    <definedName name="審2_倉庫小" comment="倉庫業ｰ小規模　審査結果2">'審査結果（倉庫業－小規模）'!$O$48</definedName>
    <definedName name="審2_倉庫大" comment="倉庫業ｰ大規模　審査結果2">'審査結果（倉庫業－大規模）'!$O$48</definedName>
    <definedName name="審2_倉庫中" comment="倉庫業ｰ中規模　審査結果2">'審査結果（倉庫業－中規模） '!$O$48</definedName>
    <definedName name="人の同伴">'①製品審査申請書（工業会用）'!$E$43</definedName>
    <definedName name="製造事業者名">'①製品審査申請書（工業会用）'!$C$5</definedName>
    <definedName name="製品URL">'②製品審査申請書（事務局用）'!$J$27</definedName>
    <definedName name="製品カテゴリ">'①製品審査申請書（工業会用）'!$E$12</definedName>
    <definedName name="製品概要">'②製品審査申請書（事務局用）'!$J$21</definedName>
    <definedName name="製品区分">'①製品審査申請書（工業会用）'!$E$13</definedName>
    <definedName name="製品名称">'②製品審査申請書（事務局用）'!$J$17</definedName>
    <definedName name="積み下ろし方法">'①製品審査申請書（工業会用）'!$E$41</definedName>
    <definedName name="設定費用">'①製品審査申請書（工業会用）'!$E$50</definedName>
    <definedName name="投資_卸売小" comment="卸売業ｰ小規模　投資回収年数">'審査結果（卸売業－小規模）'!$O$45</definedName>
    <definedName name="投資_卸売大" comment="卸売業ｰ大規模　投資回収年数">'審査結果（卸売業－大規模）'!$O$45</definedName>
    <definedName name="投資_卸売中" comment="卸売業ｰ中規模　投資回収年数">'審査結果（卸売業－中規模）'!$O$45</definedName>
    <definedName name="投資_小売小" comment="小売業ｰ小規模　投資回収年数">'審査結果（小売業－小規模）'!$O$45</definedName>
    <definedName name="投資_小売大" comment="小売業ｰ大規模　投資回収年数">'審査結果（小売業－大規模）'!$O$45</definedName>
    <definedName name="投資_小売中" comment="小売業ｰ中規模　投資回収年数">'審査結果（小売業－中規模）'!$O$45</definedName>
    <definedName name="投資_製造小" comment="製造業ｰ小規模　投資回収年数">'審査結果（製造業－小規模）'!$O$45</definedName>
    <definedName name="投資_製造大" comment="製造業ｰ大規模　投資回収年数">'審査結果（製造業－大規模）'!$O$45</definedName>
    <definedName name="投資_製造中" comment="製造業ｰ中規模　投資回収年数">'審査結果（製造業－中規模）'!$O$45</definedName>
    <definedName name="投資_倉庫小" comment="倉庫業ｰ小規模　投資回収年数">'審査結果（倉庫業－小規模）'!$O$45</definedName>
    <definedName name="投資_倉庫大" comment="倉庫業ｰ大規模　投資回収年数">'審査結果（倉庫業－大規模）'!$O$45</definedName>
    <definedName name="投資_倉庫中" comment="倉庫業ｰ中規模　投資回収年数">'審査結果（倉庫業－中規模） '!$O$45</definedName>
    <definedName name="納入先">③納品実績報告書!$D$5</definedName>
    <definedName name="平均納品金額">③納品実績報告書!$E$5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38" l="1"/>
  <c r="O37" i="17" l="1"/>
  <c r="O36" i="17"/>
  <c r="O37" i="16"/>
  <c r="O36" i="16"/>
  <c r="O37" i="14"/>
  <c r="O36" i="14"/>
  <c r="O37" i="23"/>
  <c r="O36" i="23"/>
  <c r="O37" i="22"/>
  <c r="O36" i="22"/>
  <c r="O37" i="21"/>
  <c r="O36" i="21"/>
  <c r="O37" i="27"/>
  <c r="O36" i="27"/>
  <c r="O37" i="26"/>
  <c r="O36" i="26"/>
  <c r="I24" i="26"/>
  <c r="O37" i="25"/>
  <c r="O36" i="25"/>
  <c r="O37" i="30"/>
  <c r="O36" i="30"/>
  <c r="O37" i="29"/>
  <c r="O36" i="29"/>
  <c r="O37" i="5"/>
  <c r="O36" i="5"/>
  <c r="A55" i="42"/>
  <c r="A3" i="42"/>
  <c r="M17" i="41"/>
  <c r="M16" i="41"/>
  <c r="M15" i="41"/>
  <c r="M14" i="41"/>
  <c r="M6" i="41"/>
  <c r="M5" i="41"/>
  <c r="M2" i="41"/>
  <c r="AV107" i="40"/>
  <c r="AV104" i="40"/>
  <c r="AV100" i="40"/>
  <c r="AV95" i="40"/>
  <c r="AV91" i="40"/>
  <c r="AV86" i="40"/>
  <c r="AV81" i="40"/>
  <c r="AV77" i="40"/>
  <c r="AV74" i="40"/>
  <c r="A67" i="40"/>
  <c r="AV61" i="40"/>
  <c r="AV58" i="40"/>
  <c r="AV55" i="40"/>
  <c r="AV51" i="40"/>
  <c r="AV47" i="40"/>
  <c r="AV44" i="40"/>
  <c r="AV41" i="40"/>
  <c r="AV38" i="40"/>
  <c r="AV35" i="40"/>
  <c r="AV28" i="40"/>
  <c r="AV24" i="40"/>
  <c r="AV19" i="40"/>
  <c r="AV14" i="40"/>
  <c r="AV12" i="40"/>
  <c r="AV10" i="40"/>
  <c r="J8" i="40"/>
  <c r="AV3" i="40"/>
  <c r="X3" i="40" s="1"/>
  <c r="A3" i="40"/>
  <c r="G209" i="39"/>
  <c r="G208" i="39"/>
  <c r="G207" i="39"/>
  <c r="G206" i="39"/>
  <c r="G205" i="39"/>
  <c r="G204" i="39"/>
  <c r="G203" i="39"/>
  <c r="G202" i="39"/>
  <c r="G201" i="39"/>
  <c r="G200" i="39"/>
  <c r="G199" i="39"/>
  <c r="G198" i="39"/>
  <c r="G197" i="39"/>
  <c r="G196" i="39"/>
  <c r="G195" i="39"/>
  <c r="G194" i="39"/>
  <c r="G193" i="39"/>
  <c r="G192" i="39"/>
  <c r="G191" i="39"/>
  <c r="G190" i="39"/>
  <c r="G189" i="39"/>
  <c r="G188" i="39"/>
  <c r="G187" i="39"/>
  <c r="G186" i="39"/>
  <c r="G185" i="39"/>
  <c r="G184" i="39"/>
  <c r="G183" i="39"/>
  <c r="G182" i="39"/>
  <c r="G181" i="39"/>
  <c r="G180" i="39"/>
  <c r="G179" i="39"/>
  <c r="G178" i="39"/>
  <c r="G177" i="39"/>
  <c r="G176" i="39"/>
  <c r="G175" i="39"/>
  <c r="G174" i="39"/>
  <c r="G173" i="39"/>
  <c r="G172" i="39"/>
  <c r="G171" i="39"/>
  <c r="G170" i="39"/>
  <c r="G169" i="39"/>
  <c r="G168" i="39"/>
  <c r="G167" i="39"/>
  <c r="G166" i="39"/>
  <c r="G165" i="39"/>
  <c r="G164" i="39"/>
  <c r="G163" i="39"/>
  <c r="G162" i="39"/>
  <c r="G161" i="39"/>
  <c r="G160" i="39"/>
  <c r="G159" i="39"/>
  <c r="G158" i="39"/>
  <c r="G157" i="39"/>
  <c r="G156" i="39"/>
  <c r="G155" i="39"/>
  <c r="G154" i="39"/>
  <c r="G153" i="39"/>
  <c r="G152" i="39"/>
  <c r="G151" i="39"/>
  <c r="G150" i="39"/>
  <c r="G149" i="39"/>
  <c r="G148" i="39"/>
  <c r="G147" i="39"/>
  <c r="G146" i="39"/>
  <c r="G145" i="39"/>
  <c r="G144" i="39"/>
  <c r="G143" i="39"/>
  <c r="G142" i="39"/>
  <c r="G141" i="39"/>
  <c r="G140" i="39"/>
  <c r="G139" i="39"/>
  <c r="G138" i="39"/>
  <c r="G137" i="39"/>
  <c r="G136" i="39"/>
  <c r="G135" i="39"/>
  <c r="G134" i="39"/>
  <c r="G133" i="39"/>
  <c r="G132" i="39"/>
  <c r="G131" i="39"/>
  <c r="G130" i="39"/>
  <c r="G129" i="39"/>
  <c r="G128" i="39"/>
  <c r="G127" i="39"/>
  <c r="G126" i="39"/>
  <c r="G125" i="39"/>
  <c r="G124" i="39"/>
  <c r="G123" i="39"/>
  <c r="G122" i="39"/>
  <c r="G121" i="39"/>
  <c r="G120" i="39"/>
  <c r="G119" i="39"/>
  <c r="G118" i="39"/>
  <c r="G117" i="39"/>
  <c r="G116" i="39"/>
  <c r="G115" i="39"/>
  <c r="G114" i="39"/>
  <c r="G113" i="39"/>
  <c r="G112" i="39"/>
  <c r="G111" i="39"/>
  <c r="G110" i="39"/>
  <c r="G109" i="39"/>
  <c r="G108" i="39"/>
  <c r="G107" i="39"/>
  <c r="G106" i="39"/>
  <c r="G105" i="39"/>
  <c r="G104" i="39"/>
  <c r="G103" i="39"/>
  <c r="G102" i="39"/>
  <c r="G101" i="39"/>
  <c r="G100" i="39"/>
  <c r="G99" i="39"/>
  <c r="G98" i="39"/>
  <c r="G97" i="39"/>
  <c r="G96" i="39"/>
  <c r="G95" i="39"/>
  <c r="G94" i="39"/>
  <c r="G93" i="39"/>
  <c r="G92" i="39"/>
  <c r="G91" i="39"/>
  <c r="G90" i="39"/>
  <c r="G89" i="39"/>
  <c r="G88" i="39"/>
  <c r="G87" i="39"/>
  <c r="G86" i="39"/>
  <c r="G85" i="39"/>
  <c r="G84" i="39"/>
  <c r="G83" i="39"/>
  <c r="G82" i="39"/>
  <c r="G81" i="39"/>
  <c r="G80" i="39"/>
  <c r="G79" i="39"/>
  <c r="G78" i="39"/>
  <c r="G77" i="39"/>
  <c r="G76" i="39"/>
  <c r="G75" i="39"/>
  <c r="G74" i="39"/>
  <c r="G73" i="39"/>
  <c r="G72" i="39"/>
  <c r="G71" i="39"/>
  <c r="G70" i="39"/>
  <c r="G69" i="39"/>
  <c r="G68" i="39"/>
  <c r="G67" i="39"/>
  <c r="G66" i="39"/>
  <c r="G65" i="39"/>
  <c r="G64" i="39"/>
  <c r="G63" i="39"/>
  <c r="G62" i="39"/>
  <c r="G61" i="39"/>
  <c r="G60" i="39"/>
  <c r="G59" i="39"/>
  <c r="G58" i="39"/>
  <c r="G57" i="39"/>
  <c r="G56" i="39"/>
  <c r="G55" i="39"/>
  <c r="G54" i="39"/>
  <c r="G53" i="39"/>
  <c r="G52" i="39"/>
  <c r="G51" i="39"/>
  <c r="G50" i="39"/>
  <c r="G49" i="39"/>
  <c r="G48" i="39"/>
  <c r="G47" i="39"/>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G10" i="39"/>
  <c r="C7" i="39"/>
  <c r="E5" i="39"/>
  <c r="D4" i="39"/>
  <c r="D3" i="39"/>
  <c r="AV157" i="38"/>
  <c r="AV154" i="38"/>
  <c r="AV151" i="38"/>
  <c r="AV148" i="38"/>
  <c r="AV145" i="38"/>
  <c r="AV142" i="38"/>
  <c r="AV139" i="38"/>
  <c r="AV136" i="38"/>
  <c r="AV133" i="38"/>
  <c r="AV130" i="38"/>
  <c r="A123" i="38"/>
  <c r="AV116" i="38"/>
  <c r="AV111" i="38"/>
  <c r="AV108" i="38"/>
  <c r="AV105" i="38"/>
  <c r="AV102" i="38"/>
  <c r="AV96" i="38"/>
  <c r="AV92" i="38"/>
  <c r="AV89" i="38"/>
  <c r="AV86" i="38"/>
  <c r="AV83" i="38"/>
  <c r="AV80" i="38"/>
  <c r="AV77" i="38"/>
  <c r="AV73" i="38"/>
  <c r="A66" i="38"/>
  <c r="AV58" i="38"/>
  <c r="L52" i="38"/>
  <c r="L48" i="38"/>
  <c r="L44" i="38"/>
  <c r="L40" i="38"/>
  <c r="J31" i="38"/>
  <c r="AV27" i="38"/>
  <c r="AV21" i="38"/>
  <c r="AV17" i="38"/>
  <c r="AV14" i="38"/>
  <c r="AV13" i="38"/>
  <c r="AV12" i="38"/>
  <c r="AV11" i="38"/>
  <c r="AV10" i="38"/>
  <c r="J8" i="38"/>
  <c r="AV3" i="38"/>
  <c r="X3" i="38" s="1"/>
  <c r="A3" i="38"/>
  <c r="E5" i="37"/>
  <c r="F23" i="17" l="1"/>
  <c r="F23" i="16"/>
  <c r="F23" i="14"/>
  <c r="I23" i="23"/>
  <c r="I23" i="22"/>
  <c r="I23" i="21"/>
  <c r="I23" i="27"/>
  <c r="I23" i="26"/>
  <c r="I23" i="25"/>
  <c r="I23" i="30"/>
  <c r="I23" i="29"/>
  <c r="I23" i="5"/>
  <c r="L38" i="17" l="1"/>
  <c r="L38" i="16"/>
  <c r="L38" i="14"/>
  <c r="L38" i="23"/>
  <c r="L38" i="22"/>
  <c r="I38" i="21"/>
  <c r="L38" i="27"/>
  <c r="L38" i="26"/>
  <c r="I38" i="25"/>
  <c r="F11" i="6"/>
  <c r="E11" i="6"/>
  <c r="D11" i="6"/>
  <c r="F12" i="24"/>
  <c r="E12" i="24"/>
  <c r="D12" i="24"/>
  <c r="F12" i="20"/>
  <c r="E12" i="20"/>
  <c r="D12" i="20"/>
  <c r="I23" i="17"/>
  <c r="I22" i="17"/>
  <c r="I21" i="17"/>
  <c r="I23" i="16"/>
  <c r="I22" i="16"/>
  <c r="I21" i="16"/>
  <c r="I23" i="14"/>
  <c r="I22" i="14"/>
  <c r="I21" i="14"/>
  <c r="L23" i="23"/>
  <c r="L22" i="23"/>
  <c r="L21" i="23"/>
  <c r="L23" i="22"/>
  <c r="L22" i="22"/>
  <c r="L21" i="22"/>
  <c r="L23" i="21"/>
  <c r="L22" i="21"/>
  <c r="L21" i="21"/>
  <c r="L23" i="27"/>
  <c r="L22" i="27"/>
  <c r="L21" i="27"/>
  <c r="L23" i="26"/>
  <c r="L22" i="26"/>
  <c r="L21" i="26"/>
  <c r="L22" i="25"/>
  <c r="L23" i="25"/>
  <c r="L21" i="25"/>
  <c r="L23" i="29"/>
  <c r="F22" i="17"/>
  <c r="F21" i="17"/>
  <c r="F22" i="16"/>
  <c r="F21" i="16"/>
  <c r="F22" i="14"/>
  <c r="F21" i="14"/>
  <c r="I22" i="23"/>
  <c r="I21" i="23"/>
  <c r="I22" i="22"/>
  <c r="I21" i="22"/>
  <c r="I22" i="21"/>
  <c r="I21" i="21"/>
  <c r="I22" i="27"/>
  <c r="I21" i="27"/>
  <c r="I22" i="26"/>
  <c r="I21" i="26"/>
  <c r="I22" i="25"/>
  <c r="I21" i="25"/>
  <c r="L23" i="30" l="1"/>
  <c r="L22" i="30"/>
  <c r="L21" i="30"/>
  <c r="L21" i="29"/>
  <c r="I22" i="30"/>
  <c r="I21" i="30"/>
  <c r="I22" i="29"/>
  <c r="I21" i="29"/>
  <c r="L22" i="29"/>
  <c r="L38" i="30"/>
  <c r="L38" i="29"/>
  <c r="L38" i="5"/>
  <c r="L23" i="5"/>
  <c r="L22" i="5"/>
  <c r="L21" i="5"/>
  <c r="I22" i="5"/>
  <c r="I21" i="5"/>
  <c r="P30" i="31"/>
  <c r="O30" i="31"/>
  <c r="P29" i="31"/>
  <c r="O29" i="31"/>
  <c r="P28" i="31"/>
  <c r="O28" i="31"/>
  <c r="L28" i="31"/>
  <c r="P27" i="31"/>
  <c r="O27" i="31"/>
  <c r="L27" i="31"/>
  <c r="Q26" i="31" s="1"/>
  <c r="P26" i="31"/>
  <c r="O26" i="31"/>
  <c r="C4" i="17"/>
  <c r="C4" i="16"/>
  <c r="C4" i="14"/>
  <c r="C4" i="23"/>
  <c r="C4" i="22"/>
  <c r="C4" i="21"/>
  <c r="C4" i="27"/>
  <c r="C4" i="26"/>
  <c r="C4" i="25"/>
  <c r="C4" i="30"/>
  <c r="C4" i="29"/>
  <c r="C4" i="5"/>
  <c r="L29" i="31" l="1"/>
  <c r="D7" i="17"/>
  <c r="D6" i="17"/>
  <c r="D7" i="16"/>
  <c r="D6" i="16"/>
  <c r="D7" i="14"/>
  <c r="D6" i="14"/>
  <c r="D7" i="23"/>
  <c r="D6" i="23"/>
  <c r="D7" i="22"/>
  <c r="D6" i="22"/>
  <c r="D7" i="21"/>
  <c r="D6" i="21"/>
  <c r="D7" i="27"/>
  <c r="D6" i="27"/>
  <c r="D7" i="26"/>
  <c r="D6" i="26"/>
  <c r="D7" i="25"/>
  <c r="D6" i="25"/>
  <c r="D7" i="30"/>
  <c r="D6" i="30"/>
  <c r="D7" i="29"/>
  <c r="D6" i="29"/>
  <c r="D7" i="5"/>
  <c r="D6" i="5"/>
  <c r="C2" i="37"/>
  <c r="A1" i="31" s="1"/>
  <c r="C8" i="37"/>
  <c r="C7" i="37"/>
  <c r="C6" i="37"/>
  <c r="C5" i="37"/>
  <c r="C4" i="37"/>
  <c r="P35" i="31"/>
  <c r="O35" i="31"/>
  <c r="P34" i="31"/>
  <c r="O34" i="31"/>
  <c r="P33" i="31"/>
  <c r="O33" i="31"/>
  <c r="L33" i="31"/>
  <c r="P32" i="31"/>
  <c r="O32" i="31"/>
  <c r="L32" i="31"/>
  <c r="Q31" i="31" s="1"/>
  <c r="P31" i="31"/>
  <c r="O31" i="31"/>
  <c r="P25" i="31"/>
  <c r="O25" i="31"/>
  <c r="P24" i="31"/>
  <c r="O24" i="31"/>
  <c r="P23" i="31"/>
  <c r="O23" i="31"/>
  <c r="L23" i="31"/>
  <c r="P22" i="31"/>
  <c r="O22" i="31"/>
  <c r="L22" i="31"/>
  <c r="Q21" i="31" s="1"/>
  <c r="P21" i="31"/>
  <c r="O21" i="31"/>
  <c r="P20" i="31"/>
  <c r="O20" i="31"/>
  <c r="P19" i="31"/>
  <c r="O19" i="31"/>
  <c r="P18" i="31"/>
  <c r="O18" i="31"/>
  <c r="L18" i="31"/>
  <c r="P17" i="31"/>
  <c r="O17" i="31"/>
  <c r="L17" i="31"/>
  <c r="Q16" i="31" s="1"/>
  <c r="P16" i="31"/>
  <c r="O16" i="31"/>
  <c r="L34" i="31" l="1"/>
  <c r="L24" i="31"/>
  <c r="L19" i="31"/>
  <c r="Q14" i="31"/>
  <c r="L15" i="31" l="1"/>
  <c r="J33" i="38" s="1"/>
  <c r="M3" i="41" s="1"/>
  <c r="D7" i="20"/>
  <c r="D7" i="24"/>
  <c r="F21" i="30" l="1"/>
  <c r="O21" i="30"/>
  <c r="O21" i="5"/>
  <c r="F21" i="29"/>
  <c r="I42" i="29"/>
  <c r="L41" i="29"/>
  <c r="F41" i="29"/>
  <c r="I38" i="29"/>
  <c r="L24" i="29"/>
  <c r="I24" i="29"/>
  <c r="L17" i="29"/>
  <c r="L16" i="29"/>
  <c r="I16" i="29"/>
  <c r="L15" i="29"/>
  <c r="I15" i="29"/>
  <c r="O23" i="29"/>
  <c r="F21" i="5"/>
  <c r="O22" i="5"/>
  <c r="O23" i="5"/>
  <c r="F7" i="20"/>
  <c r="F11" i="20" s="1"/>
  <c r="O17" i="27"/>
  <c r="O16" i="27"/>
  <c r="O15" i="27"/>
  <c r="F10" i="6"/>
  <c r="E10" i="6"/>
  <c r="D10" i="6"/>
  <c r="F9" i="6"/>
  <c r="E9" i="6"/>
  <c r="D9" i="6"/>
  <c r="I16" i="5" s="1"/>
  <c r="F8" i="6"/>
  <c r="E8" i="6"/>
  <c r="D8" i="6"/>
  <c r="A7" i="6"/>
  <c r="A8" i="6"/>
  <c r="A9" i="6"/>
  <c r="A6" i="6"/>
  <c r="A4" i="6"/>
  <c r="A5" i="6"/>
  <c r="I15" i="27"/>
  <c r="I42" i="30"/>
  <c r="L41" i="30"/>
  <c r="F41" i="30"/>
  <c r="I38" i="30"/>
  <c r="I24" i="30"/>
  <c r="L17" i="30"/>
  <c r="O17" i="30" s="1"/>
  <c r="L16" i="30"/>
  <c r="L15" i="30"/>
  <c r="O17" i="29"/>
  <c r="I24" i="5"/>
  <c r="I42" i="17"/>
  <c r="L41" i="17"/>
  <c r="F41" i="17"/>
  <c r="I38" i="17"/>
  <c r="L24" i="17"/>
  <c r="I24" i="17"/>
  <c r="O24" i="17" s="1"/>
  <c r="L23" i="17"/>
  <c r="L22" i="17"/>
  <c r="L21" i="17"/>
  <c r="L17" i="17"/>
  <c r="F17" i="17"/>
  <c r="L16" i="17"/>
  <c r="I16" i="17"/>
  <c r="F16" i="17"/>
  <c r="L15" i="17"/>
  <c r="I15" i="17"/>
  <c r="O15" i="17" s="1"/>
  <c r="F15" i="17"/>
  <c r="I42" i="16"/>
  <c r="L41" i="16"/>
  <c r="F41" i="16"/>
  <c r="I38" i="16"/>
  <c r="L24" i="16"/>
  <c r="O24" i="16" s="1"/>
  <c r="I24" i="16"/>
  <c r="L23" i="16"/>
  <c r="L22" i="16"/>
  <c r="L21" i="16"/>
  <c r="L17" i="16"/>
  <c r="O17" i="16" s="1"/>
  <c r="F17" i="16"/>
  <c r="L16" i="16"/>
  <c r="I16" i="16"/>
  <c r="F16" i="16"/>
  <c r="O16" i="16" s="1"/>
  <c r="L15" i="16"/>
  <c r="O15" i="16" s="1"/>
  <c r="I15" i="16"/>
  <c r="F15" i="16"/>
  <c r="O38" i="17"/>
  <c r="O39" i="17" s="1"/>
  <c r="I45" i="17" s="1"/>
  <c r="O23" i="17"/>
  <c r="O17" i="17"/>
  <c r="O38" i="16"/>
  <c r="O22" i="16"/>
  <c r="O24" i="14"/>
  <c r="L24" i="14"/>
  <c r="I24" i="14"/>
  <c r="L21" i="14"/>
  <c r="L22" i="14"/>
  <c r="L23" i="14"/>
  <c r="F17" i="14"/>
  <c r="I42" i="14"/>
  <c r="L41" i="14"/>
  <c r="F41" i="14"/>
  <c r="I38" i="14"/>
  <c r="I16" i="14"/>
  <c r="F16" i="14"/>
  <c r="L15" i="14"/>
  <c r="L16" i="14"/>
  <c r="L17" i="14"/>
  <c r="I15" i="14"/>
  <c r="F15" i="14"/>
  <c r="D13" i="28"/>
  <c r="E13" i="28"/>
  <c r="F13" i="28"/>
  <c r="D12" i="28"/>
  <c r="E12" i="28"/>
  <c r="F12" i="28"/>
  <c r="D9" i="28"/>
  <c r="E9" i="28"/>
  <c r="F9" i="28"/>
  <c r="A11" i="28"/>
  <c r="A3" i="28"/>
  <c r="A4" i="28"/>
  <c r="A5" i="28"/>
  <c r="A6" i="28"/>
  <c r="A7" i="28"/>
  <c r="A8" i="28"/>
  <c r="A9" i="28"/>
  <c r="A10" i="28"/>
  <c r="A12" i="28"/>
  <c r="A13" i="28"/>
  <c r="I42" i="27"/>
  <c r="L41" i="27"/>
  <c r="F41" i="27"/>
  <c r="I38" i="27"/>
  <c r="L24" i="27"/>
  <c r="I24" i="27"/>
  <c r="F21" i="27"/>
  <c r="L17" i="27"/>
  <c r="L16" i="27"/>
  <c r="I16" i="27"/>
  <c r="L15" i="27"/>
  <c r="O38" i="27"/>
  <c r="I42" i="26"/>
  <c r="L41" i="26"/>
  <c r="F41" i="26"/>
  <c r="I38" i="26"/>
  <c r="L24" i="26"/>
  <c r="F21" i="26"/>
  <c r="L17" i="26"/>
  <c r="O17" i="26" s="1"/>
  <c r="L16" i="26"/>
  <c r="O16" i="26" s="1"/>
  <c r="I16" i="26"/>
  <c r="L15" i="26"/>
  <c r="O15" i="26" s="1"/>
  <c r="I15" i="26"/>
  <c r="O23" i="26"/>
  <c r="I42" i="25"/>
  <c r="L41" i="25"/>
  <c r="F41" i="25"/>
  <c r="L38" i="25"/>
  <c r="I24" i="25"/>
  <c r="L17" i="25"/>
  <c r="O17" i="25" s="1"/>
  <c r="O38" i="25"/>
  <c r="O39" i="25" s="1"/>
  <c r="I45" i="25" s="1"/>
  <c r="D9" i="24"/>
  <c r="D10" i="24" s="1"/>
  <c r="L24" i="25" s="1"/>
  <c r="E7" i="24"/>
  <c r="E11" i="24" s="1"/>
  <c r="F7" i="24"/>
  <c r="F11" i="24" s="1"/>
  <c r="A3" i="24"/>
  <c r="A4" i="24"/>
  <c r="A5" i="24"/>
  <c r="A6" i="24"/>
  <c r="A7" i="24"/>
  <c r="A8" i="24"/>
  <c r="A9" i="24"/>
  <c r="A10" i="24"/>
  <c r="A11" i="24"/>
  <c r="D11" i="24"/>
  <c r="L16" i="25" s="1"/>
  <c r="A12" i="24"/>
  <c r="I42" i="23"/>
  <c r="L41" i="23"/>
  <c r="F41" i="23"/>
  <c r="I38" i="23"/>
  <c r="I24" i="23"/>
  <c r="I42" i="22"/>
  <c r="L41" i="22"/>
  <c r="F41" i="22"/>
  <c r="I38" i="22"/>
  <c r="L24" i="22"/>
  <c r="O24" i="22" s="1"/>
  <c r="I24" i="22"/>
  <c r="F21" i="22"/>
  <c r="L17" i="22"/>
  <c r="O17" i="22" s="1"/>
  <c r="L16" i="22"/>
  <c r="I16" i="22"/>
  <c r="O16" i="22" s="1"/>
  <c r="L15" i="22"/>
  <c r="I15" i="22"/>
  <c r="I42" i="21"/>
  <c r="L41" i="21"/>
  <c r="F41" i="21"/>
  <c r="L38" i="21"/>
  <c r="I24" i="21"/>
  <c r="D11" i="20"/>
  <c r="L15" i="21" s="1"/>
  <c r="E11" i="20"/>
  <c r="D9" i="20"/>
  <c r="D10" i="20" s="1"/>
  <c r="I16" i="21" s="1"/>
  <c r="E7" i="20"/>
  <c r="E9" i="20" s="1"/>
  <c r="E10" i="20" s="1"/>
  <c r="A3" i="20"/>
  <c r="A4" i="20"/>
  <c r="A5" i="20"/>
  <c r="A6" i="20"/>
  <c r="A7" i="20"/>
  <c r="A8" i="20"/>
  <c r="A9" i="20"/>
  <c r="A10" i="20"/>
  <c r="A11" i="20"/>
  <c r="A12" i="20"/>
  <c r="L16" i="5"/>
  <c r="L17" i="5"/>
  <c r="O17" i="5" s="1"/>
  <c r="O24" i="26" l="1"/>
  <c r="O24" i="27"/>
  <c r="O38" i="21"/>
  <c r="O39" i="21" s="1"/>
  <c r="I45" i="21" s="1"/>
  <c r="O38" i="23"/>
  <c r="O39" i="23" s="1"/>
  <c r="I45" i="23" s="1"/>
  <c r="O22" i="17"/>
  <c r="O22" i="30"/>
  <c r="O23" i="27"/>
  <c r="O21" i="14"/>
  <c r="O22" i="14"/>
  <c r="F21" i="21"/>
  <c r="L17" i="21"/>
  <c r="O17" i="21" s="1"/>
  <c r="L24" i="21"/>
  <c r="O24" i="21" s="1"/>
  <c r="I15" i="21"/>
  <c r="O15" i="21" s="1"/>
  <c r="O23" i="21"/>
  <c r="O22" i="21"/>
  <c r="L16" i="21"/>
  <c r="O16" i="21" s="1"/>
  <c r="L15" i="25"/>
  <c r="I15" i="25"/>
  <c r="O15" i="25" s="1"/>
  <c r="O23" i="25"/>
  <c r="I16" i="25"/>
  <c r="O16" i="25" s="1"/>
  <c r="O18" i="25" s="1"/>
  <c r="F21" i="25"/>
  <c r="O21" i="25" s="1"/>
  <c r="O24" i="25"/>
  <c r="O23" i="30"/>
  <c r="O23" i="14"/>
  <c r="O22" i="29"/>
  <c r="O21" i="29"/>
  <c r="L24" i="23"/>
  <c r="O24" i="23" s="1"/>
  <c r="L17" i="23"/>
  <c r="O17" i="23" s="1"/>
  <c r="O22" i="23"/>
  <c r="L16" i="23"/>
  <c r="L15" i="23"/>
  <c r="F9" i="20"/>
  <c r="F10" i="20" s="1"/>
  <c r="O24" i="29"/>
  <c r="O39" i="27"/>
  <c r="I45" i="27" s="1"/>
  <c r="O39" i="16"/>
  <c r="I45" i="16" s="1"/>
  <c r="O22" i="22"/>
  <c r="L15" i="5"/>
  <c r="L24" i="30"/>
  <c r="O24" i="30" s="1"/>
  <c r="I15" i="30"/>
  <c r="O15" i="30" s="1"/>
  <c r="I16" i="30"/>
  <c r="O16" i="30" s="1"/>
  <c r="I15" i="5"/>
  <c r="O22" i="26"/>
  <c r="O15" i="29"/>
  <c r="O21" i="16"/>
  <c r="O21" i="26"/>
  <c r="O21" i="27"/>
  <c r="O23" i="23"/>
  <c r="O23" i="22"/>
  <c r="O38" i="29"/>
  <c r="O39" i="29" s="1"/>
  <c r="I45" i="29" s="1"/>
  <c r="O16" i="29"/>
  <c r="O38" i="30"/>
  <c r="O39" i="30" s="1"/>
  <c r="I45" i="30" s="1"/>
  <c r="O21" i="17"/>
  <c r="O25" i="17" s="1"/>
  <c r="O16" i="17"/>
  <c r="O18" i="17" s="1"/>
  <c r="O23" i="16"/>
  <c r="O18" i="16"/>
  <c r="L28" i="16" s="1"/>
  <c r="O22" i="27"/>
  <c r="O18" i="27"/>
  <c r="O38" i="26"/>
  <c r="O39" i="26" s="1"/>
  <c r="I45" i="26" s="1"/>
  <c r="O18" i="26"/>
  <c r="L28" i="26"/>
  <c r="F28" i="26"/>
  <c r="O22" i="25"/>
  <c r="E9" i="24"/>
  <c r="E10" i="24" s="1"/>
  <c r="F9" i="24"/>
  <c r="F10" i="24" s="1"/>
  <c r="O38" i="22"/>
  <c r="O39" i="22" s="1"/>
  <c r="I45" i="22" s="1"/>
  <c r="O21" i="22"/>
  <c r="O15" i="22"/>
  <c r="O18" i="22" s="1"/>
  <c r="O38" i="14"/>
  <c r="O39" i="14" s="1"/>
  <c r="I45" i="14" s="1"/>
  <c r="O17" i="14"/>
  <c r="O16" i="14"/>
  <c r="O15" i="14"/>
  <c r="O25" i="14" l="1"/>
  <c r="I28" i="14" s="1"/>
  <c r="O21" i="21"/>
  <c r="O25" i="21" s="1"/>
  <c r="I28" i="21" s="1"/>
  <c r="O18" i="21"/>
  <c r="L28" i="21" s="1"/>
  <c r="L28" i="25"/>
  <c r="F28" i="25"/>
  <c r="O25" i="26"/>
  <c r="I28" i="26" s="1"/>
  <c r="O28" i="26" s="1"/>
  <c r="I16" i="23"/>
  <c r="O16" i="23" s="1"/>
  <c r="I15" i="23"/>
  <c r="O15" i="23" s="1"/>
  <c r="O18" i="23" s="1"/>
  <c r="F21" i="23"/>
  <c r="O21" i="23" s="1"/>
  <c r="O25" i="23" s="1"/>
  <c r="I28" i="23" s="1"/>
  <c r="O15" i="5"/>
  <c r="O25" i="25"/>
  <c r="I28" i="25" s="1"/>
  <c r="O28" i="25" s="1"/>
  <c r="O25" i="30"/>
  <c r="O18" i="29"/>
  <c r="O18" i="30"/>
  <c r="F28" i="30" s="1"/>
  <c r="O25" i="29"/>
  <c r="O25" i="16"/>
  <c r="I41" i="16" s="1"/>
  <c r="O41" i="16" s="1"/>
  <c r="O25" i="27"/>
  <c r="I28" i="27" s="1"/>
  <c r="O25" i="22"/>
  <c r="I41" i="22" s="1"/>
  <c r="O41" i="22" s="1"/>
  <c r="I28" i="17"/>
  <c r="L42" i="17"/>
  <c r="O42" i="17" s="1"/>
  <c r="I41" i="17"/>
  <c r="O41" i="17" s="1"/>
  <c r="L28" i="17"/>
  <c r="F28" i="17"/>
  <c r="F28" i="16"/>
  <c r="F28" i="27"/>
  <c r="L28" i="27"/>
  <c r="F28" i="23"/>
  <c r="L28" i="23"/>
  <c r="F28" i="22"/>
  <c r="L28" i="22"/>
  <c r="F28" i="21"/>
  <c r="O18" i="14"/>
  <c r="O31" i="26" l="1"/>
  <c r="E16" i="37" s="1"/>
  <c r="D16" i="37"/>
  <c r="O31" i="25"/>
  <c r="E15" i="37" s="1"/>
  <c r="D15" i="37"/>
  <c r="I28" i="30"/>
  <c r="L42" i="30"/>
  <c r="O42" i="30" s="1"/>
  <c r="I28" i="29"/>
  <c r="L42" i="29"/>
  <c r="O42" i="29" s="1"/>
  <c r="I41" i="21"/>
  <c r="O41" i="21" s="1"/>
  <c r="L42" i="21"/>
  <c r="O42" i="21" s="1"/>
  <c r="I41" i="26"/>
  <c r="O41" i="26" s="1"/>
  <c r="L42" i="26"/>
  <c r="O42" i="26" s="1"/>
  <c r="L42" i="23"/>
  <c r="O42" i="23" s="1"/>
  <c r="L28" i="29"/>
  <c r="I41" i="29"/>
  <c r="O41" i="29" s="1"/>
  <c r="I41" i="23"/>
  <c r="O41" i="23" s="1"/>
  <c r="L42" i="25"/>
  <c r="O42" i="25" s="1"/>
  <c r="I41" i="25"/>
  <c r="O41" i="25" s="1"/>
  <c r="F28" i="29"/>
  <c r="L28" i="30"/>
  <c r="I41" i="30"/>
  <c r="O41" i="30" s="1"/>
  <c r="I28" i="16"/>
  <c r="O28" i="16" s="1"/>
  <c r="I41" i="27"/>
  <c r="O41" i="27" s="1"/>
  <c r="L42" i="16"/>
  <c r="O42" i="16" s="1"/>
  <c r="O43" i="16" s="1"/>
  <c r="L45" i="16" s="1"/>
  <c r="O45" i="16" s="1"/>
  <c r="L42" i="27"/>
  <c r="O42" i="27" s="1"/>
  <c r="O28" i="17"/>
  <c r="L42" i="22"/>
  <c r="O42" i="22" s="1"/>
  <c r="O43" i="22" s="1"/>
  <c r="L45" i="22" s="1"/>
  <c r="O45" i="22" s="1"/>
  <c r="I28" i="22"/>
  <c r="O28" i="22" s="1"/>
  <c r="O43" i="17"/>
  <c r="L45" i="17" s="1"/>
  <c r="O45" i="17" s="1"/>
  <c r="O28" i="21"/>
  <c r="F28" i="14"/>
  <c r="L42" i="14"/>
  <c r="O42" i="14" s="1"/>
  <c r="I41" i="14"/>
  <c r="O41" i="14" s="1"/>
  <c r="O28" i="27"/>
  <c r="O28" i="23"/>
  <c r="L28" i="14"/>
  <c r="O28" i="14" s="1"/>
  <c r="O43" i="21" l="1"/>
  <c r="L45" i="21" s="1"/>
  <c r="O45" i="21" s="1"/>
  <c r="O48" i="21" s="1"/>
  <c r="O48" i="16"/>
  <c r="G22" i="37" s="1"/>
  <c r="F22" i="37"/>
  <c r="O31" i="14"/>
  <c r="E21" i="37" s="1"/>
  <c r="D21" i="37"/>
  <c r="O31" i="17"/>
  <c r="E23" i="37" s="1"/>
  <c r="D23" i="37"/>
  <c r="O31" i="16"/>
  <c r="E22" i="37" s="1"/>
  <c r="D22" i="37"/>
  <c r="O48" i="17"/>
  <c r="G23" i="37" s="1"/>
  <c r="F23" i="37"/>
  <c r="O43" i="26"/>
  <c r="L45" i="26" s="1"/>
  <c r="O45" i="26" s="1"/>
  <c r="O48" i="26" s="1"/>
  <c r="G16" i="37" s="1"/>
  <c r="O31" i="23"/>
  <c r="D20" i="37"/>
  <c r="O31" i="22"/>
  <c r="D19" i="37"/>
  <c r="O31" i="21"/>
  <c r="D18" i="37"/>
  <c r="O31" i="27"/>
  <c r="E17" i="37" s="1"/>
  <c r="D17" i="37"/>
  <c r="O48" i="22"/>
  <c r="F19" i="37"/>
  <c r="O28" i="30"/>
  <c r="O43" i="23"/>
  <c r="L45" i="23" s="1"/>
  <c r="O45" i="23" s="1"/>
  <c r="O43" i="25"/>
  <c r="L45" i="25" s="1"/>
  <c r="O45" i="25" s="1"/>
  <c r="O28" i="29"/>
  <c r="O43" i="27"/>
  <c r="L45" i="27" s="1"/>
  <c r="O45" i="27" s="1"/>
  <c r="O43" i="29"/>
  <c r="L45" i="29" s="1"/>
  <c r="O45" i="29" s="1"/>
  <c r="O43" i="30"/>
  <c r="L45" i="30" s="1"/>
  <c r="O45" i="30" s="1"/>
  <c r="O43" i="14"/>
  <c r="L45" i="14" s="1"/>
  <c r="O45" i="14" s="1"/>
  <c r="F18" i="37" l="1"/>
  <c r="F16" i="37"/>
  <c r="O48" i="14"/>
  <c r="G21" i="37" s="1"/>
  <c r="F21" i="37"/>
  <c r="E20" i="37"/>
  <c r="E19" i="37"/>
  <c r="E18" i="37"/>
  <c r="O31" i="30"/>
  <c r="E14" i="37" s="1"/>
  <c r="D14" i="37"/>
  <c r="O31" i="29"/>
  <c r="E13" i="37" s="1"/>
  <c r="D13" i="37"/>
  <c r="O48" i="23"/>
  <c r="F20" i="37"/>
  <c r="G19" i="37"/>
  <c r="G18" i="37"/>
  <c r="O48" i="27"/>
  <c r="G17" i="37" s="1"/>
  <c r="F17" i="37"/>
  <c r="O48" i="25"/>
  <c r="G15" i="37" s="1"/>
  <c r="F15" i="37"/>
  <c r="O48" i="30"/>
  <c r="G14" i="37" s="1"/>
  <c r="F14" i="37"/>
  <c r="O48" i="29"/>
  <c r="G13" i="37" s="1"/>
  <c r="F13" i="37"/>
  <c r="L24" i="5"/>
  <c r="G20" i="37" l="1"/>
  <c r="I42" i="5"/>
  <c r="L41" i="5"/>
  <c r="I38" i="5"/>
  <c r="F41" i="5"/>
  <c r="A10" i="6"/>
  <c r="A11" i="6"/>
  <c r="A3" i="6"/>
  <c r="O16" i="5" l="1"/>
  <c r="O18" i="5" l="1"/>
  <c r="O38" i="5"/>
  <c r="O24" i="5" l="1"/>
  <c r="O25" i="5" s="1"/>
  <c r="I41" i="5" l="1"/>
  <c r="L42" i="5"/>
  <c r="F28" i="5"/>
  <c r="I28" i="5" l="1"/>
  <c r="O41" i="5"/>
  <c r="O42" i="5"/>
  <c r="O39" i="5"/>
  <c r="I45" i="5" s="1"/>
  <c r="O43" i="5" l="1"/>
  <c r="L45" i="5" s="1"/>
  <c r="L28" i="5"/>
  <c r="O28" i="5" s="1"/>
  <c r="D12" i="37" s="1"/>
  <c r="O45" i="5" l="1"/>
  <c r="O31" i="5"/>
  <c r="E12" i="37" s="1"/>
  <c r="O48" i="5" l="1"/>
  <c r="G12" i="37" s="1"/>
  <c r="F12" i="37"/>
</calcChain>
</file>

<file path=xl/sharedStrings.xml><?xml version="1.0" encoding="utf-8"?>
<sst xmlns="http://schemas.openxmlformats.org/spreadsheetml/2006/main" count="1995" uniqueCount="445">
  <si>
    <t>社名：</t>
    <rPh sb="0" eb="2">
      <t>シャメイ</t>
    </rPh>
    <phoneticPr fontId="1"/>
  </si>
  <si>
    <t>型番：</t>
    <rPh sb="0" eb="2">
      <t>カタバン</t>
    </rPh>
    <phoneticPr fontId="1"/>
  </si>
  <si>
    <t>分類</t>
    <rPh sb="0" eb="2">
      <t>ブンルイ</t>
    </rPh>
    <phoneticPr fontId="1"/>
  </si>
  <si>
    <t>製品カテゴリ</t>
    <rPh sb="0" eb="2">
      <t>セイヒン</t>
    </rPh>
    <phoneticPr fontId="1"/>
  </si>
  <si>
    <t>業種</t>
    <rPh sb="0" eb="2">
      <t>ギョウシュ</t>
    </rPh>
    <phoneticPr fontId="1"/>
  </si>
  <si>
    <t>業務領域</t>
    <rPh sb="0" eb="2">
      <t>ギョウム</t>
    </rPh>
    <rPh sb="2" eb="4">
      <t>リョウイキ</t>
    </rPh>
    <phoneticPr fontId="1"/>
  </si>
  <si>
    <t>入出庫</t>
    <rPh sb="0" eb="3">
      <t>ニュウシュッコ</t>
    </rPh>
    <phoneticPr fontId="1"/>
  </si>
  <si>
    <t>省力化機能</t>
    <rPh sb="0" eb="3">
      <t>ショウリョクカ</t>
    </rPh>
    <rPh sb="3" eb="5">
      <t>キノウ</t>
    </rPh>
    <phoneticPr fontId="1"/>
  </si>
  <si>
    <t>搬送物の積みおろし方法</t>
    <rPh sb="0" eb="3">
      <t>ハンソウブツ</t>
    </rPh>
    <rPh sb="4" eb="5">
      <t>ツ</t>
    </rPh>
    <rPh sb="9" eb="11">
      <t>ホウホウ</t>
    </rPh>
    <phoneticPr fontId="1"/>
  </si>
  <si>
    <t>手動</t>
    <rPh sb="0" eb="2">
      <t>シュドウ</t>
    </rPh>
    <phoneticPr fontId="1"/>
  </si>
  <si>
    <t>搬送ルートの設定方法</t>
    <rPh sb="0" eb="2">
      <t>ハンソウ</t>
    </rPh>
    <rPh sb="6" eb="8">
      <t>セッテイ</t>
    </rPh>
    <rPh sb="8" eb="10">
      <t>ホウホウ</t>
    </rPh>
    <phoneticPr fontId="1"/>
  </si>
  <si>
    <t>搬送時の人の同伴</t>
    <rPh sb="0" eb="3">
      <t>ハンソウジ</t>
    </rPh>
    <rPh sb="4" eb="5">
      <t>ヒト</t>
    </rPh>
    <rPh sb="6" eb="8">
      <t>ドウハン</t>
    </rPh>
    <phoneticPr fontId="1"/>
  </si>
  <si>
    <t>必要</t>
    <rPh sb="0" eb="2">
      <t>ヒツヨウ</t>
    </rPh>
    <phoneticPr fontId="1"/>
  </si>
  <si>
    <t>費用</t>
    <rPh sb="0" eb="2">
      <t>ヒヨウ</t>
    </rPh>
    <phoneticPr fontId="1"/>
  </si>
  <si>
    <t>機器購入代金</t>
    <rPh sb="0" eb="2">
      <t>キキ</t>
    </rPh>
    <rPh sb="2" eb="4">
      <t>コウニュウ</t>
    </rPh>
    <rPh sb="4" eb="6">
      <t>ダイキン</t>
    </rPh>
    <phoneticPr fontId="1"/>
  </si>
  <si>
    <t>[千円]</t>
    <rPh sb="1" eb="2">
      <t>セン</t>
    </rPh>
    <rPh sb="2" eb="3">
      <t>エン</t>
    </rPh>
    <phoneticPr fontId="1"/>
  </si>
  <si>
    <t>設置設定費用</t>
    <rPh sb="0" eb="2">
      <t>セッチ</t>
    </rPh>
    <rPh sb="2" eb="4">
      <t>セッテイ</t>
    </rPh>
    <rPh sb="4" eb="6">
      <t>ヒヨウ</t>
    </rPh>
    <phoneticPr fontId="1"/>
  </si>
  <si>
    <t>ー</t>
    <phoneticPr fontId="1"/>
  </si>
  <si>
    <t>根拠資料</t>
    <rPh sb="0" eb="2">
      <t>コンキョ</t>
    </rPh>
    <rPh sb="2" eb="4">
      <t>シリョウ</t>
    </rPh>
    <phoneticPr fontId="1"/>
  </si>
  <si>
    <t>（資料名）</t>
    <rPh sb="1" eb="4">
      <t>シリョウメイ</t>
    </rPh>
    <phoneticPr fontId="1"/>
  </si>
  <si>
    <t>中小企業省力化投資補助事業　製品審査結果</t>
    <rPh sb="0" eb="2">
      <t>チュウショウ</t>
    </rPh>
    <rPh sb="2" eb="4">
      <t>キギョウ</t>
    </rPh>
    <rPh sb="4" eb="7">
      <t>ショウリョクカ</t>
    </rPh>
    <rPh sb="7" eb="9">
      <t>トウシ</t>
    </rPh>
    <rPh sb="9" eb="11">
      <t>ホジョ</t>
    </rPh>
    <rPh sb="11" eb="13">
      <t>ジギョウ</t>
    </rPh>
    <rPh sb="14" eb="16">
      <t>セイヒン</t>
    </rPh>
    <rPh sb="16" eb="18">
      <t>シンサ</t>
    </rPh>
    <rPh sb="18" eb="20">
      <t>ケッカ</t>
    </rPh>
    <phoneticPr fontId="1"/>
  </si>
  <si>
    <t>日本物流システム機器協会</t>
    <phoneticPr fontId="1"/>
  </si>
  <si>
    <t>利用が想定される中小企業</t>
    <rPh sb="0" eb="2">
      <t>リヨウ</t>
    </rPh>
    <rPh sb="3" eb="5">
      <t>ソウテイ</t>
    </rPh>
    <rPh sb="8" eb="10">
      <t>チュウショウ</t>
    </rPh>
    <rPh sb="10" eb="12">
      <t>キギョウ</t>
    </rPh>
    <phoneticPr fontId="1"/>
  </si>
  <si>
    <t>小規模事業者（従業員数0～9人）</t>
    <rPh sb="0" eb="3">
      <t>ショウキボ</t>
    </rPh>
    <rPh sb="3" eb="6">
      <t>ジギョウシャ</t>
    </rPh>
    <rPh sb="7" eb="10">
      <t>ジュウギョウイン</t>
    </rPh>
    <rPh sb="10" eb="11">
      <t>スウ</t>
    </rPh>
    <rPh sb="14" eb="15">
      <t>ニン</t>
    </rPh>
    <phoneticPr fontId="1"/>
  </si>
  <si>
    <t>省力化指標</t>
    <rPh sb="0" eb="3">
      <t>ショウリョクカ</t>
    </rPh>
    <rPh sb="3" eb="5">
      <t>シヒョウ</t>
    </rPh>
    <phoneticPr fontId="1"/>
  </si>
  <si>
    <t>x1：荷物搬送作業</t>
    <rPh sb="0" eb="2">
      <t>サギョウ</t>
    </rPh>
    <rPh sb="3" eb="5">
      <t>オウロ</t>
    </rPh>
    <rPh sb="5" eb="7">
      <t>ハンソウ</t>
    </rPh>
    <phoneticPr fontId="1"/>
  </si>
  <si>
    <t>[分/回]</t>
    <rPh sb="1" eb="2">
      <t>フン</t>
    </rPh>
    <rPh sb="3" eb="4">
      <t>カイ</t>
    </rPh>
    <phoneticPr fontId="1"/>
  </si>
  <si>
    <t>×</t>
    <phoneticPr fontId="1"/>
  </si>
  <si>
    <t>[回/日]</t>
    <rPh sb="1" eb="2">
      <t>カイ</t>
    </rPh>
    <rPh sb="3" eb="4">
      <t>ニチ</t>
    </rPh>
    <phoneticPr fontId="1"/>
  </si>
  <si>
    <t>=</t>
    <phoneticPr fontId="1"/>
  </si>
  <si>
    <t>[時間/日]</t>
    <rPh sb="1" eb="3">
      <t>ジカン</t>
    </rPh>
    <rPh sb="4" eb="5">
      <t>ニチ</t>
    </rPh>
    <phoneticPr fontId="1"/>
  </si>
  <si>
    <t>x2：非搬送移動</t>
    <rPh sb="3" eb="6">
      <t>ヒハンソウ</t>
    </rPh>
    <rPh sb="6" eb="8">
      <t>イドウ</t>
    </rPh>
    <phoneticPr fontId="1"/>
  </si>
  <si>
    <t>x3：積みおろし作業</t>
    <rPh sb="3" eb="4">
      <t>ツ</t>
    </rPh>
    <rPh sb="8" eb="10">
      <t>サギョウ</t>
    </rPh>
    <phoneticPr fontId="1"/>
  </si>
  <si>
    <t>X：機器導入により代替される業務</t>
    <rPh sb="2" eb="4">
      <t>キキ</t>
    </rPh>
    <rPh sb="4" eb="6">
      <t>ドウニュウ</t>
    </rPh>
    <rPh sb="9" eb="11">
      <t>ダイタイ</t>
    </rPh>
    <rPh sb="14" eb="16">
      <t>ギョウム</t>
    </rPh>
    <phoneticPr fontId="1"/>
  </si>
  <si>
    <t>（=x1+x2+x3）</t>
    <phoneticPr fontId="1"/>
  </si>
  <si>
    <t>y1：機器操作（荷物搬送・非搬送移動）</t>
    <rPh sb="8" eb="12">
      <t>ニモツハンソウ</t>
    </rPh>
    <rPh sb="13" eb="18">
      <t>ヒハンソウイドウ</t>
    </rPh>
    <phoneticPr fontId="1"/>
  </si>
  <si>
    <t>[-]</t>
    <phoneticPr fontId="1"/>
  </si>
  <si>
    <t>y2：機器操作（積みおろし）</t>
    <rPh sb="3" eb="7">
      <t>キキソウサ</t>
    </rPh>
    <rPh sb="8" eb="9">
      <t>ツ</t>
    </rPh>
    <phoneticPr fontId="1"/>
  </si>
  <si>
    <t>y3：機器操作（ルート設定）</t>
    <rPh sb="11" eb="13">
      <t>セッテイ</t>
    </rPh>
    <phoneticPr fontId="1"/>
  </si>
  <si>
    <t>y4：エラー・故障対応</t>
    <phoneticPr fontId="1"/>
  </si>
  <si>
    <t>[分/台]</t>
    <rPh sb="1" eb="2">
      <t>フン</t>
    </rPh>
    <rPh sb="3" eb="4">
      <t>ダイ</t>
    </rPh>
    <phoneticPr fontId="1"/>
  </si>
  <si>
    <t>[台]</t>
    <rPh sb="1" eb="2">
      <t>ダイ</t>
    </rPh>
    <phoneticPr fontId="1"/>
  </si>
  <si>
    <t>Y：機器導入により新たに発生する業務量</t>
    <rPh sb="2" eb="4">
      <t>キキ</t>
    </rPh>
    <rPh sb="4" eb="6">
      <t>ドウニュウ</t>
    </rPh>
    <rPh sb="9" eb="10">
      <t>アラ</t>
    </rPh>
    <rPh sb="12" eb="14">
      <t>ハッセイ</t>
    </rPh>
    <rPh sb="16" eb="19">
      <t>ギョウムリョウ</t>
    </rPh>
    <phoneticPr fontId="1"/>
  </si>
  <si>
    <t>（=y1+y2+y3+y4）</t>
    <phoneticPr fontId="1"/>
  </si>
  <si>
    <t>省力化指標</t>
    <phoneticPr fontId="1"/>
  </si>
  <si>
    <t>（</t>
    <phoneticPr fontId="1"/>
  </si>
  <si>
    <t>-</t>
    <phoneticPr fontId="1"/>
  </si>
  <si>
    <r>
      <t>[時間/日]</t>
    </r>
    <r>
      <rPr>
        <b/>
        <sz val="11"/>
        <color theme="1"/>
        <rFont val="ＭＳ Ｐゴシック"/>
        <family val="3"/>
        <charset val="128"/>
        <scheme val="minor"/>
      </rPr>
      <t>）</t>
    </r>
    <rPh sb="1" eb="3">
      <t>ジカン</t>
    </rPh>
    <rPh sb="4" eb="5">
      <t>ニチ</t>
    </rPh>
    <phoneticPr fontId="1"/>
  </si>
  <si>
    <t>÷</t>
    <phoneticPr fontId="1"/>
  </si>
  <si>
    <t>＝</t>
    <phoneticPr fontId="1"/>
  </si>
  <si>
    <t>（=（X-Y)/X）</t>
    <phoneticPr fontId="1"/>
  </si>
  <si>
    <t>審査結果</t>
    <rPh sb="0" eb="2">
      <t>シンサ</t>
    </rPh>
    <rPh sb="2" eb="4">
      <t>ケッカ</t>
    </rPh>
    <phoneticPr fontId="1"/>
  </si>
  <si>
    <t>費用対効果</t>
    <rPh sb="0" eb="2">
      <t>ヒヨウ</t>
    </rPh>
    <phoneticPr fontId="1"/>
  </si>
  <si>
    <t>I1：機器購入代金</t>
    <rPh sb="3" eb="5">
      <t>キキ</t>
    </rPh>
    <rPh sb="5" eb="7">
      <t>コウニュウ</t>
    </rPh>
    <rPh sb="7" eb="9">
      <t>ダイキン</t>
    </rPh>
    <phoneticPr fontId="1"/>
  </si>
  <si>
    <t>I2：設置設定費用</t>
    <rPh sb="3" eb="5">
      <t>セッチ</t>
    </rPh>
    <rPh sb="5" eb="7">
      <t>セッテイ</t>
    </rPh>
    <rPh sb="7" eb="9">
      <t>ヒヨウ</t>
    </rPh>
    <phoneticPr fontId="1"/>
  </si>
  <si>
    <t>I3：機器設置にかかる労務費用</t>
    <rPh sb="3" eb="5">
      <t>キキ</t>
    </rPh>
    <rPh sb="5" eb="7">
      <t>セッチ</t>
    </rPh>
    <rPh sb="11" eb="13">
      <t>ロウム</t>
    </rPh>
    <rPh sb="13" eb="15">
      <t>ヒヨウ</t>
    </rPh>
    <phoneticPr fontId="1"/>
  </si>
  <si>
    <t>[千円/時間]</t>
    <rPh sb="1" eb="2">
      <t>セン</t>
    </rPh>
    <rPh sb="2" eb="3">
      <t>エン</t>
    </rPh>
    <rPh sb="4" eb="6">
      <t>ジカン</t>
    </rPh>
    <phoneticPr fontId="1"/>
  </si>
  <si>
    <t>[時間]</t>
    <rPh sb="1" eb="3">
      <t>ジカン</t>
    </rPh>
    <phoneticPr fontId="1"/>
  </si>
  <si>
    <t>[千円]</t>
    <rPh sb="1" eb="3">
      <t>センエン</t>
    </rPh>
    <phoneticPr fontId="1"/>
  </si>
  <si>
    <t>I：機器導入に係る初期費用(=I1+I2+I3)</t>
    <rPh sb="2" eb="4">
      <t>キキ</t>
    </rPh>
    <rPh sb="4" eb="6">
      <t>ドウニュウ</t>
    </rPh>
    <rPh sb="7" eb="8">
      <t>カカ</t>
    </rPh>
    <rPh sb="9" eb="11">
      <t>ショキ</t>
    </rPh>
    <rPh sb="11" eb="13">
      <t>ヒヨウ</t>
    </rPh>
    <phoneticPr fontId="1"/>
  </si>
  <si>
    <t>E1：業務削減量</t>
    <rPh sb="3" eb="5">
      <t>ギョウム</t>
    </rPh>
    <rPh sb="5" eb="8">
      <t>サクゲンリョウ</t>
    </rPh>
    <phoneticPr fontId="1"/>
  </si>
  <si>
    <t>[時間/台]</t>
    <rPh sb="1" eb="3">
      <t>ジカン</t>
    </rPh>
    <rPh sb="4" eb="5">
      <t>ダイ</t>
    </rPh>
    <phoneticPr fontId="1"/>
  </si>
  <si>
    <t>[日/年]</t>
    <rPh sb="1" eb="2">
      <t>ニチ</t>
    </rPh>
    <rPh sb="3" eb="4">
      <t>ネン</t>
    </rPh>
    <phoneticPr fontId="1"/>
  </si>
  <si>
    <t>[千円/年]</t>
    <rPh sb="1" eb="2">
      <t>セン</t>
    </rPh>
    <rPh sb="2" eb="3">
      <t>エン</t>
    </rPh>
    <rPh sb="4" eb="5">
      <t>ネン</t>
    </rPh>
    <phoneticPr fontId="1"/>
  </si>
  <si>
    <t>E2：採用コスト削減量</t>
    <rPh sb="3" eb="5">
      <t>サイヨウ</t>
    </rPh>
    <rPh sb="8" eb="10">
      <t>サクゲン</t>
    </rPh>
    <rPh sb="10" eb="11">
      <t>リョウ</t>
    </rPh>
    <phoneticPr fontId="1"/>
  </si>
  <si>
    <t>[千円/人]</t>
    <rPh sb="1" eb="2">
      <t>セン</t>
    </rPh>
    <rPh sb="2" eb="3">
      <t>エン</t>
    </rPh>
    <rPh sb="4" eb="5">
      <t>ニン</t>
    </rPh>
    <phoneticPr fontId="1"/>
  </si>
  <si>
    <t>[人/年]</t>
    <rPh sb="1" eb="2">
      <t>ニン</t>
    </rPh>
    <rPh sb="3" eb="4">
      <t>ネン</t>
    </rPh>
    <phoneticPr fontId="1"/>
  </si>
  <si>
    <t>E：効果合計(=E1+E2)</t>
    <rPh sb="2" eb="6">
      <t>コウカゴウケイ</t>
    </rPh>
    <phoneticPr fontId="1"/>
  </si>
  <si>
    <t>投資回収年数</t>
    <rPh sb="0" eb="2">
      <t>トウシ</t>
    </rPh>
    <rPh sb="2" eb="4">
      <t>カイシュウ</t>
    </rPh>
    <rPh sb="4" eb="6">
      <t>ネンスウ</t>
    </rPh>
    <phoneticPr fontId="1"/>
  </si>
  <si>
    <t>[年]</t>
    <rPh sb="1" eb="2">
      <t>ネン</t>
    </rPh>
    <phoneticPr fontId="1"/>
  </si>
  <si>
    <t>(=I/E)</t>
    <phoneticPr fontId="1"/>
  </si>
  <si>
    <t>中規模事業者（従業員数10～49人）</t>
    <rPh sb="0" eb="3">
      <t>チュウキボ</t>
    </rPh>
    <rPh sb="3" eb="6">
      <t>ジギョウシャ</t>
    </rPh>
    <rPh sb="7" eb="10">
      <t>ジュウギョウイン</t>
    </rPh>
    <rPh sb="10" eb="11">
      <t>スウ</t>
    </rPh>
    <rPh sb="16" eb="17">
      <t>ニン</t>
    </rPh>
    <phoneticPr fontId="1"/>
  </si>
  <si>
    <t>大規模事業者（従業員数50～299人）</t>
    <rPh sb="0" eb="3">
      <t>ダイキボ</t>
    </rPh>
    <rPh sb="3" eb="6">
      <t>ジギョウシャ</t>
    </rPh>
    <rPh sb="7" eb="10">
      <t>ジュウギョウイン</t>
    </rPh>
    <rPh sb="10" eb="11">
      <t>スウ</t>
    </rPh>
    <rPh sb="17" eb="18">
      <t>ニン</t>
    </rPh>
    <phoneticPr fontId="1"/>
  </si>
  <si>
    <t>項目</t>
    <rPh sb="0" eb="2">
      <t>コウモク</t>
    </rPh>
    <phoneticPr fontId="1"/>
  </si>
  <si>
    <t>値</t>
    <rPh sb="0" eb="1">
      <t>チ</t>
    </rPh>
    <phoneticPr fontId="1"/>
  </si>
  <si>
    <t>想定、前提事項</t>
    <rPh sb="0" eb="2">
      <t>ソウテイ</t>
    </rPh>
    <rPh sb="3" eb="7">
      <t>ゼンテイジコウ</t>
    </rPh>
    <phoneticPr fontId="1"/>
  </si>
  <si>
    <t>単位</t>
    <rPh sb="0" eb="2">
      <t>タンイ</t>
    </rPh>
    <phoneticPr fontId="1"/>
  </si>
  <si>
    <t>小規模</t>
    <rPh sb="0" eb="3">
      <t>ショウキボ</t>
    </rPh>
    <phoneticPr fontId="1"/>
  </si>
  <si>
    <t>中規模</t>
    <rPh sb="0" eb="3">
      <t>チュウキボ</t>
    </rPh>
    <phoneticPr fontId="1"/>
  </si>
  <si>
    <t>大規模</t>
    <rPh sb="0" eb="3">
      <t>ダイキボ</t>
    </rPh>
    <phoneticPr fontId="1"/>
  </si>
  <si>
    <t>倉庫業</t>
    <rPh sb="0" eb="3">
      <t>ソウコギョウ</t>
    </rPh>
    <phoneticPr fontId="1"/>
  </si>
  <si>
    <t>－</t>
  </si>
  <si>
    <t>従業員単価</t>
    <rPh sb="0" eb="5">
      <t>ジュウギョウインタンカ</t>
    </rPh>
    <phoneticPr fontId="1"/>
  </si>
  <si>
    <t>千円/時</t>
    <rPh sb="0" eb="1">
      <t>セン</t>
    </rPh>
    <rPh sb="1" eb="2">
      <t>エン</t>
    </rPh>
    <rPh sb="3" eb="4">
      <t>ジ</t>
    </rPh>
    <phoneticPr fontId="1"/>
  </si>
  <si>
    <t>賃金構造基本統計調査(2020年)より</t>
    <rPh sb="0" eb="2">
      <t>チンギン</t>
    </rPh>
    <rPh sb="2" eb="4">
      <t>コウゾウ</t>
    </rPh>
    <rPh sb="4" eb="6">
      <t>キホン</t>
    </rPh>
    <rPh sb="6" eb="8">
      <t>トウケイ</t>
    </rPh>
    <rPh sb="8" eb="10">
      <t>チョウサ</t>
    </rPh>
    <rPh sb="15" eb="16">
      <t>ネン</t>
    </rPh>
    <phoneticPr fontId="1"/>
  </si>
  <si>
    <t>採用コスト</t>
    <rPh sb="0" eb="2">
      <t>サイヨウ</t>
    </rPh>
    <phoneticPr fontId="1"/>
  </si>
  <si>
    <t>千円/人</t>
    <rPh sb="0" eb="1">
      <t>セン</t>
    </rPh>
    <rPh sb="1" eb="2">
      <t>エン</t>
    </rPh>
    <rPh sb="3" eb="4">
      <t>ニン</t>
    </rPh>
    <phoneticPr fontId="1"/>
  </si>
  <si>
    <t>従業員1人当たりの採用コストを7万円/人と仮定</t>
  </si>
  <si>
    <t>1事業所当たり従業員数</t>
    <rPh sb="1" eb="4">
      <t>ジギョウショ</t>
    </rPh>
    <rPh sb="4" eb="5">
      <t>ア</t>
    </rPh>
    <rPh sb="7" eb="10">
      <t>ジュウギョウイン</t>
    </rPh>
    <rPh sb="10" eb="11">
      <t>スウ</t>
    </rPh>
    <phoneticPr fontId="1"/>
  </si>
  <si>
    <t>人/事業所</t>
    <rPh sb="0" eb="1">
      <t>ニン</t>
    </rPh>
    <rPh sb="2" eb="5">
      <t>ジギョウショ</t>
    </rPh>
    <phoneticPr fontId="1"/>
  </si>
  <si>
    <t>令和3年経済センサスより　企業産業中分類＝倉庫業</t>
    <phoneticPr fontId="1"/>
  </si>
  <si>
    <t>年間営業日数</t>
    <rPh sb="0" eb="6">
      <t>ネンカンエイギョウニッスウ</t>
    </rPh>
    <phoneticPr fontId="1"/>
  </si>
  <si>
    <t>日/年</t>
    <rPh sb="0" eb="1">
      <t>ニチ</t>
    </rPh>
    <rPh sb="2" eb="3">
      <t>ネン</t>
    </rPh>
    <phoneticPr fontId="1"/>
  </si>
  <si>
    <t>倉庫内最長距離（長辺）</t>
    <rPh sb="0" eb="2">
      <t>ソウコ</t>
    </rPh>
    <rPh sb="2" eb="3">
      <t>ナイ</t>
    </rPh>
    <rPh sb="3" eb="7">
      <t>サイチョウキョリ</t>
    </rPh>
    <rPh sb="8" eb="10">
      <t>チョウヘン</t>
    </rPh>
    <phoneticPr fontId="1"/>
  </si>
  <si>
    <t>m</t>
  </si>
  <si>
    <t>倉庫の縦横比3:4と仮定</t>
    <rPh sb="0" eb="2">
      <t>ソウコ</t>
    </rPh>
    <rPh sb="3" eb="6">
      <t>タテヨコヒ</t>
    </rPh>
    <rPh sb="10" eb="12">
      <t>カテイ</t>
    </rPh>
    <phoneticPr fontId="1"/>
  </si>
  <si>
    <t>入出庫距離（片道）</t>
    <rPh sb="0" eb="5">
      <t>ニュウシュッコキョリ</t>
    </rPh>
    <rPh sb="6" eb="8">
      <t>カタミチ</t>
    </rPh>
    <phoneticPr fontId="1"/>
  </si>
  <si>
    <t>m</t>
    <phoneticPr fontId="1"/>
  </si>
  <si>
    <t>倉庫面積より倉庫長辺の長さを試算
倉庫長辺の1/2の距離を入出庫距離と仮定</t>
    <rPh sb="0" eb="4">
      <t>ソウコメンセキ</t>
    </rPh>
    <rPh sb="6" eb="10">
      <t>ソウコチョウヘン</t>
    </rPh>
    <rPh sb="11" eb="12">
      <t>ナガ</t>
    </rPh>
    <rPh sb="14" eb="16">
      <t>シサン</t>
    </rPh>
    <rPh sb="17" eb="21">
      <t>ソウコチョウヘン</t>
    </rPh>
    <rPh sb="26" eb="28">
      <t>キョリ</t>
    </rPh>
    <rPh sb="29" eb="34">
      <t>ニュウシュッコキョリ</t>
    </rPh>
    <rPh sb="35" eb="37">
      <t>カテイ</t>
    </rPh>
    <phoneticPr fontId="1"/>
  </si>
  <si>
    <t>1事業所あたり出庫量</t>
    <rPh sb="1" eb="4">
      <t>ジギョウショ</t>
    </rPh>
    <rPh sb="7" eb="9">
      <t>シュッコ</t>
    </rPh>
    <rPh sb="9" eb="10">
      <t>リョウ</t>
    </rPh>
    <phoneticPr fontId="1"/>
  </si>
  <si>
    <t>kg/日</t>
    <rPh sb="3" eb="4">
      <t>ニチ</t>
    </rPh>
    <phoneticPr fontId="1"/>
  </si>
  <si>
    <t>令和３年度倉庫事業経営指標より入出庫量=4,734t/年・人
入庫量＝出庫量と仮定し試算</t>
    <rPh sb="42" eb="44">
      <t>シサン</t>
    </rPh>
    <phoneticPr fontId="1"/>
  </si>
  <si>
    <t>機器導入台数</t>
    <rPh sb="0" eb="6">
      <t>キキドウニュウダイスウ</t>
    </rPh>
    <phoneticPr fontId="1"/>
  </si>
  <si>
    <t>台</t>
    <rPh sb="0" eb="1">
      <t>ダイ</t>
    </rPh>
    <phoneticPr fontId="1"/>
  </si>
  <si>
    <t>稼働時間8時間と仮定
稼働時間内に入出庫量を処理するのに必要な台数</t>
    <rPh sb="0" eb="4">
      <t>カドウジカン</t>
    </rPh>
    <rPh sb="5" eb="7">
      <t>ジカン</t>
    </rPh>
    <rPh sb="8" eb="10">
      <t>カテイ</t>
    </rPh>
    <rPh sb="11" eb="16">
      <t>カドウジカンナイ</t>
    </rPh>
    <rPh sb="17" eb="21">
      <t>ニュウシュッコリョウ</t>
    </rPh>
    <rPh sb="22" eb="24">
      <t>ショリ</t>
    </rPh>
    <rPh sb="28" eb="30">
      <t>ヒツヨウ</t>
    </rPh>
    <rPh sb="31" eb="33">
      <t>ダイスウ</t>
    </rPh>
    <phoneticPr fontId="1"/>
  </si>
  <si>
    <t>y1：機器操作(荷物搬送・非搬送移動)</t>
    <rPh sb="3" eb="5">
      <t>キキ</t>
    </rPh>
    <rPh sb="5" eb="7">
      <t>ソウサ</t>
    </rPh>
    <rPh sb="8" eb="10">
      <t>ニモツ</t>
    </rPh>
    <rPh sb="10" eb="12">
      <t>ハンソウ</t>
    </rPh>
    <rPh sb="13" eb="14">
      <t>ヒ</t>
    </rPh>
    <rPh sb="14" eb="16">
      <t>ハンソウ</t>
    </rPh>
    <rPh sb="16" eb="18">
      <t>イドウ</t>
    </rPh>
    <phoneticPr fontId="1"/>
  </si>
  <si>
    <t>[分/日]</t>
    <rPh sb="1" eb="2">
      <t>フン</t>
    </rPh>
    <rPh sb="3" eb="4">
      <t>ニチ</t>
    </rPh>
    <phoneticPr fontId="1"/>
  </si>
  <si>
    <t>中規模事業者（従業員数10～29人）</t>
    <rPh sb="0" eb="3">
      <t>チュウキボ</t>
    </rPh>
    <rPh sb="3" eb="6">
      <t>ジギョウシャ</t>
    </rPh>
    <rPh sb="7" eb="10">
      <t>ジュウギョウイン</t>
    </rPh>
    <rPh sb="10" eb="11">
      <t>スウ</t>
    </rPh>
    <rPh sb="16" eb="17">
      <t>ニン</t>
    </rPh>
    <phoneticPr fontId="1"/>
  </si>
  <si>
    <t>大規模事業者（従業員数30～99人）</t>
    <rPh sb="0" eb="3">
      <t>ダイキボ</t>
    </rPh>
    <rPh sb="3" eb="6">
      <t>ジギョウシャ</t>
    </rPh>
    <rPh sb="7" eb="10">
      <t>ジュウギョウイン</t>
    </rPh>
    <rPh sb="10" eb="11">
      <t>スウ</t>
    </rPh>
    <rPh sb="16" eb="17">
      <t>ニン</t>
    </rPh>
    <phoneticPr fontId="1"/>
  </si>
  <si>
    <t>卸売業</t>
    <rPh sb="0" eb="2">
      <t>オロシウリ</t>
    </rPh>
    <rPh sb="2" eb="3">
      <t>ギョウ</t>
    </rPh>
    <phoneticPr fontId="1"/>
  </si>
  <si>
    <t>従業員単価</t>
    <rPh sb="0" eb="5">
      <t>ジュウギョウインタンカ</t>
    </rPh>
    <phoneticPr fontId="3"/>
  </si>
  <si>
    <t>千円/時</t>
    <rPh sb="0" eb="2">
      <t>センエン</t>
    </rPh>
    <rPh sb="3" eb="4">
      <t>ジ</t>
    </rPh>
    <phoneticPr fontId="3"/>
  </si>
  <si>
    <t>賃金構造基本統計調査（2020)より</t>
    <phoneticPr fontId="1"/>
  </si>
  <si>
    <t>採用コスト</t>
    <rPh sb="0" eb="2">
      <t>サイヨウ</t>
    </rPh>
    <phoneticPr fontId="3"/>
  </si>
  <si>
    <t>1事業所当たり従業員数</t>
    <rPh sb="1" eb="5">
      <t>ジギョウショア</t>
    </rPh>
    <rPh sb="7" eb="11">
      <t>ジュウギョウインスウ</t>
    </rPh>
    <phoneticPr fontId="1"/>
  </si>
  <si>
    <t>令和3年経済センサスより　企業産業中分類＝卸売業</t>
    <rPh sb="0" eb="2">
      <t>レイワ</t>
    </rPh>
    <rPh sb="3" eb="4">
      <t>ネン</t>
    </rPh>
    <rPh sb="4" eb="6">
      <t>ケイザイ</t>
    </rPh>
    <rPh sb="13" eb="15">
      <t>キギョウ</t>
    </rPh>
    <rPh sb="15" eb="17">
      <t>サンギョウ</t>
    </rPh>
    <rPh sb="17" eb="20">
      <t>チュウブンルイ</t>
    </rPh>
    <rPh sb="21" eb="24">
      <t>オロシウリギョウ</t>
    </rPh>
    <phoneticPr fontId="1"/>
  </si>
  <si>
    <t>うち、倉庫業務にかかる従業員数</t>
    <rPh sb="3" eb="5">
      <t>ソウコ</t>
    </rPh>
    <rPh sb="5" eb="7">
      <t>ギョウム</t>
    </rPh>
    <rPh sb="11" eb="15">
      <t>ジュウギョウインスウ</t>
    </rPh>
    <phoneticPr fontId="1"/>
  </si>
  <si>
    <t>倉庫業務にかかる従業員数を以下の通り仮定
小規模：全従業員（100%)
中規模・大規模：全従業員の3/4(75%)</t>
    <rPh sb="0" eb="2">
      <t>ソウコ</t>
    </rPh>
    <rPh sb="2" eb="4">
      <t>ギョウム</t>
    </rPh>
    <rPh sb="8" eb="11">
      <t>ジュウギョウイン</t>
    </rPh>
    <rPh sb="11" eb="12">
      <t>スウ</t>
    </rPh>
    <rPh sb="13" eb="15">
      <t>イカ</t>
    </rPh>
    <rPh sb="16" eb="17">
      <t>トオ</t>
    </rPh>
    <rPh sb="18" eb="20">
      <t>カテイ</t>
    </rPh>
    <rPh sb="21" eb="24">
      <t>ショウキボ</t>
    </rPh>
    <rPh sb="25" eb="29">
      <t>ゼンジュウギョウイン</t>
    </rPh>
    <rPh sb="36" eb="39">
      <t>チュウキボ</t>
    </rPh>
    <rPh sb="40" eb="43">
      <t>ダイキボ</t>
    </rPh>
    <rPh sb="44" eb="45">
      <t>ゼン</t>
    </rPh>
    <rPh sb="45" eb="48">
      <t>ジュウギョウイン</t>
    </rPh>
    <phoneticPr fontId="1"/>
  </si>
  <si>
    <t>普通倉庫における従業員1人当たり所管面積を635㎡と仮定（令和３年度倉庫事業経営指標より）
倉庫の縦横比3:4と仮定</t>
    <rPh sb="46" eb="48">
      <t>ソウコ</t>
    </rPh>
    <rPh sb="49" eb="52">
      <t>タテヨコヒ</t>
    </rPh>
    <rPh sb="56" eb="58">
      <t>カテイ</t>
    </rPh>
    <phoneticPr fontId="1"/>
  </si>
  <si>
    <t>入出庫量=4,734t/年・人、入庫量＝出庫量と仮定（令和３年度倉庫事業経営指標より）</t>
    <rPh sb="0" eb="4">
      <t>ニュウシュッコリョウ</t>
    </rPh>
    <rPh sb="12" eb="13">
      <t>ネン</t>
    </rPh>
    <rPh sb="14" eb="15">
      <t>ニン</t>
    </rPh>
    <rPh sb="16" eb="19">
      <t>ニュウコリョウ</t>
    </rPh>
    <rPh sb="20" eb="23">
      <t>シュッコリョウ</t>
    </rPh>
    <phoneticPr fontId="1"/>
  </si>
  <si>
    <t>想定導入機器台数</t>
    <rPh sb="0" eb="2">
      <t>ソウテイ</t>
    </rPh>
    <rPh sb="2" eb="4">
      <t>ドウニュウ</t>
    </rPh>
    <phoneticPr fontId="1"/>
  </si>
  <si>
    <t>台</t>
  </si>
  <si>
    <t>入出庫量を8時間で処理するのに必要な台数</t>
    <rPh sb="0" eb="4">
      <t>ニュウシュッコリョウ</t>
    </rPh>
    <rPh sb="6" eb="8">
      <t>ジカン</t>
    </rPh>
    <rPh sb="9" eb="11">
      <t>ショリ</t>
    </rPh>
    <rPh sb="15" eb="17">
      <t>ヒツヨウ</t>
    </rPh>
    <rPh sb="18" eb="20">
      <t>ダイスウ</t>
    </rPh>
    <phoneticPr fontId="1"/>
  </si>
  <si>
    <t>小規模事業者（従業員数0～4人）</t>
    <rPh sb="0" eb="3">
      <t>ショウキボ</t>
    </rPh>
    <rPh sb="3" eb="6">
      <t>ジギョウシャ</t>
    </rPh>
    <rPh sb="7" eb="10">
      <t>ジュウギョウイン</t>
    </rPh>
    <rPh sb="10" eb="11">
      <t>スウ</t>
    </rPh>
    <rPh sb="14" eb="15">
      <t>ニン</t>
    </rPh>
    <phoneticPr fontId="1"/>
  </si>
  <si>
    <t>中規模事業者（従業員数5～19人）</t>
    <rPh sb="0" eb="3">
      <t>チュウキボ</t>
    </rPh>
    <rPh sb="3" eb="6">
      <t>ジギョウシャ</t>
    </rPh>
    <rPh sb="7" eb="10">
      <t>ジュウギョウイン</t>
    </rPh>
    <rPh sb="10" eb="11">
      <t>スウ</t>
    </rPh>
    <rPh sb="15" eb="16">
      <t>ニン</t>
    </rPh>
    <phoneticPr fontId="1"/>
  </si>
  <si>
    <t>大規模事業者（従業員数20～49人）</t>
    <rPh sb="0" eb="3">
      <t>ダイキボ</t>
    </rPh>
    <rPh sb="3" eb="6">
      <t>ジギョウシャ</t>
    </rPh>
    <rPh sb="7" eb="10">
      <t>ジュウギョウイン</t>
    </rPh>
    <rPh sb="10" eb="11">
      <t>スウ</t>
    </rPh>
    <rPh sb="16" eb="17">
      <t>ニン</t>
    </rPh>
    <phoneticPr fontId="1"/>
  </si>
  <si>
    <t>小売業</t>
    <rPh sb="0" eb="3">
      <t>コウリギョウ</t>
    </rPh>
    <phoneticPr fontId="1"/>
  </si>
  <si>
    <t>令和3年経済センサスより　企業産業中分類＝無店舗小売業</t>
    <rPh sb="0" eb="2">
      <t>レイワ</t>
    </rPh>
    <rPh sb="3" eb="4">
      <t>ネン</t>
    </rPh>
    <rPh sb="4" eb="6">
      <t>ケイザイ</t>
    </rPh>
    <rPh sb="13" eb="20">
      <t>キギョウサンギョウチュウブンルイ</t>
    </rPh>
    <rPh sb="24" eb="27">
      <t>コウリギョウ</t>
    </rPh>
    <phoneticPr fontId="1"/>
  </si>
  <si>
    <t>倉庫業務にかかる従業員数を以下の通り仮定
小規模：全従業員（100%)
中規模・大規模：全従業員の1/2(50%)</t>
    <rPh sb="0" eb="2">
      <t>ソウコ</t>
    </rPh>
    <rPh sb="2" eb="4">
      <t>ギョウム</t>
    </rPh>
    <rPh sb="8" eb="11">
      <t>ジュウギョウイン</t>
    </rPh>
    <rPh sb="11" eb="12">
      <t>スウ</t>
    </rPh>
    <rPh sb="13" eb="15">
      <t>イカ</t>
    </rPh>
    <rPh sb="16" eb="17">
      <t>トオ</t>
    </rPh>
    <rPh sb="18" eb="20">
      <t>カテイ</t>
    </rPh>
    <rPh sb="21" eb="24">
      <t>ショウキボ</t>
    </rPh>
    <rPh sb="25" eb="29">
      <t>ゼンジュウギョウイン</t>
    </rPh>
    <rPh sb="36" eb="39">
      <t>チュウキボ</t>
    </rPh>
    <rPh sb="40" eb="43">
      <t>ダイキボ</t>
    </rPh>
    <rPh sb="44" eb="45">
      <t>ゼン</t>
    </rPh>
    <rPh sb="45" eb="48">
      <t>ジュウギョウイン</t>
    </rPh>
    <phoneticPr fontId="1"/>
  </si>
  <si>
    <t>[人]</t>
    <rPh sb="1" eb="2">
      <t>ニン</t>
    </rPh>
    <phoneticPr fontId="1"/>
  </si>
  <si>
    <t>(=（X-Y)/X）</t>
    <phoneticPr fontId="1"/>
  </si>
  <si>
    <t>製造業</t>
    <rPh sb="0" eb="3">
      <t>セイゾウギョウ</t>
    </rPh>
    <phoneticPr fontId="1"/>
  </si>
  <si>
    <t>令和3年経済センサスより　企業産業中分類＝製造業</t>
    <rPh sb="0" eb="2">
      <t>レイワ</t>
    </rPh>
    <rPh sb="3" eb="4">
      <t>ネン</t>
    </rPh>
    <rPh sb="4" eb="6">
      <t>ケイザイ</t>
    </rPh>
    <rPh sb="13" eb="20">
      <t>キギョウサンギョウチュウブンルイ</t>
    </rPh>
    <rPh sb="21" eb="23">
      <t>セイゾウ</t>
    </rPh>
    <rPh sb="23" eb="24">
      <t>ギョウ</t>
    </rPh>
    <phoneticPr fontId="1"/>
  </si>
  <si>
    <t>週5日稼働と仮定</t>
    <rPh sb="0" eb="1">
      <t>シュウ</t>
    </rPh>
    <rPh sb="2" eb="3">
      <t>ニチ</t>
    </rPh>
    <rPh sb="3" eb="5">
      <t>カドウ</t>
    </rPh>
    <rPh sb="6" eb="8">
      <t>カテイ</t>
    </rPh>
    <phoneticPr fontId="1"/>
  </si>
  <si>
    <t>稼働時間</t>
    <rPh sb="0" eb="4">
      <t>カドウジカン</t>
    </rPh>
    <phoneticPr fontId="1"/>
  </si>
  <si>
    <t>時間/日</t>
    <rPh sb="0" eb="2">
      <t>ジカン</t>
    </rPh>
    <rPh sb="3" eb="4">
      <t>ニチ</t>
    </rPh>
    <phoneticPr fontId="1"/>
  </si>
  <si>
    <t>1回あたり搬送距離(片道)</t>
    <rPh sb="1" eb="2">
      <t>カイ</t>
    </rPh>
    <rPh sb="5" eb="9">
      <t>ハンソウキョリ</t>
    </rPh>
    <rPh sb="10" eb="12">
      <t>カタミチ</t>
    </rPh>
    <phoneticPr fontId="1"/>
  </si>
  <si>
    <t>令和3年工場立地動向調査より、平均的な工場敷地面積を8,882㎡と仮定
敷地面積の縦横比3:4とし、一辺の1/2が工程間距離と仮定</t>
    <rPh sb="15" eb="18">
      <t>ヘイキンテキ</t>
    </rPh>
    <rPh sb="19" eb="21">
      <t>コウジョウ</t>
    </rPh>
    <rPh sb="21" eb="23">
      <t>シキチ</t>
    </rPh>
    <rPh sb="23" eb="25">
      <t>メンセキ</t>
    </rPh>
    <rPh sb="33" eb="35">
      <t>カテイ</t>
    </rPh>
    <rPh sb="36" eb="40">
      <t>シキチメンセキ</t>
    </rPh>
    <rPh sb="41" eb="43">
      <t>タテヨコ</t>
    </rPh>
    <rPh sb="43" eb="44">
      <t>ヒ</t>
    </rPh>
    <rPh sb="50" eb="52">
      <t>イッペン</t>
    </rPh>
    <rPh sb="57" eb="62">
      <t>コウテイカンキョリ</t>
    </rPh>
    <rPh sb="63" eb="65">
      <t>カテイ</t>
    </rPh>
    <phoneticPr fontId="1"/>
  </si>
  <si>
    <t>1回あたり搬送人数</t>
    <rPh sb="1" eb="2">
      <t>カイ</t>
    </rPh>
    <rPh sb="5" eb="9">
      <t>ハンソウニンズウ</t>
    </rPh>
    <phoneticPr fontId="1"/>
  </si>
  <si>
    <t>人</t>
    <rPh sb="0" eb="1">
      <t>ニン</t>
    </rPh>
    <phoneticPr fontId="1"/>
  </si>
  <si>
    <t>重量物を2名体制で搬送すると仮定</t>
    <rPh sb="0" eb="3">
      <t>ジュウリョウブツ</t>
    </rPh>
    <rPh sb="5" eb="8">
      <t>メイタイセイ</t>
    </rPh>
    <rPh sb="9" eb="11">
      <t>ハンソウ</t>
    </rPh>
    <rPh sb="14" eb="16">
      <t>カテイ</t>
    </rPh>
    <phoneticPr fontId="1"/>
  </si>
  <si>
    <t>1時間当たり搬送頻度</t>
    <rPh sb="1" eb="4">
      <t>ジカンア</t>
    </rPh>
    <rPh sb="6" eb="8">
      <t>ハンソウ</t>
    </rPh>
    <rPh sb="8" eb="10">
      <t>ヒンド</t>
    </rPh>
    <phoneticPr fontId="1"/>
  </si>
  <si>
    <t>回/時</t>
    <rPh sb="0" eb="1">
      <t>カイ</t>
    </rPh>
    <rPh sb="2" eb="3">
      <t>ジ</t>
    </rPh>
    <phoneticPr fontId="1"/>
  </si>
  <si>
    <t>機器導入前、人手で1回100kg、10分に1度搬送していたと仮定</t>
    <rPh sb="0" eb="5">
      <t>キキドウニュウマエ</t>
    </rPh>
    <rPh sb="6" eb="8">
      <t>ヒトデ</t>
    </rPh>
    <rPh sb="10" eb="11">
      <t>カイ</t>
    </rPh>
    <rPh sb="19" eb="20">
      <t>フン</t>
    </rPh>
    <rPh sb="22" eb="23">
      <t>ド</t>
    </rPh>
    <rPh sb="23" eb="25">
      <t>ハンソウ</t>
    </rPh>
    <rPh sb="30" eb="32">
      <t>カテイ</t>
    </rPh>
    <phoneticPr fontId="1"/>
  </si>
  <si>
    <t>生産ライン数</t>
    <rPh sb="0" eb="2">
      <t>セイサン</t>
    </rPh>
    <rPh sb="5" eb="6">
      <t>スウ</t>
    </rPh>
    <phoneticPr fontId="1"/>
  </si>
  <si>
    <t>ライン/事業所</t>
    <rPh sb="4" eb="7">
      <t>ジギョウショ</t>
    </rPh>
    <phoneticPr fontId="1"/>
  </si>
  <si>
    <t>従業員の9割が工場勤務、1ラインあたり6人体制（生産5人※搬送含む、検査1人）と仮定</t>
    <rPh sb="24" eb="26">
      <t>セイサン</t>
    </rPh>
    <rPh sb="29" eb="32">
      <t>ハンソウフク</t>
    </rPh>
    <phoneticPr fontId="1"/>
  </si>
  <si>
    <t>1工程・1ラインに1台と仮定</t>
    <rPh sb="1" eb="3">
      <t>コウテイ</t>
    </rPh>
    <rPh sb="10" eb="11">
      <t>ダイ</t>
    </rPh>
    <rPh sb="12" eb="14">
      <t>カテイ</t>
    </rPh>
    <phoneticPr fontId="1"/>
  </si>
  <si>
    <t>カテゴリ</t>
  </si>
  <si>
    <t>業務領域（共通）</t>
    <rPh sb="0" eb="2">
      <t>ギョウム</t>
    </rPh>
    <rPh sb="2" eb="4">
      <t>リョウイキ</t>
    </rPh>
    <rPh sb="5" eb="7">
      <t>キョウツウ</t>
    </rPh>
    <phoneticPr fontId="1"/>
  </si>
  <si>
    <t>業務領域（建設）</t>
    <rPh sb="0" eb="2">
      <t>ギョウム</t>
    </rPh>
    <rPh sb="2" eb="4">
      <t>リョウイキ</t>
    </rPh>
    <rPh sb="5" eb="7">
      <t>ケンセツ</t>
    </rPh>
    <phoneticPr fontId="1"/>
  </si>
  <si>
    <t>業務領域（製造）</t>
    <rPh sb="0" eb="2">
      <t>ギョウム</t>
    </rPh>
    <rPh sb="2" eb="4">
      <t>リョウイキ</t>
    </rPh>
    <rPh sb="5" eb="7">
      <t>セイゾウ</t>
    </rPh>
    <phoneticPr fontId="1"/>
  </si>
  <si>
    <t>業務領域（倉庫）</t>
    <rPh sb="0" eb="2">
      <t>ギョウム</t>
    </rPh>
    <rPh sb="2" eb="4">
      <t>リョウイキ</t>
    </rPh>
    <rPh sb="5" eb="7">
      <t>ソウコ</t>
    </rPh>
    <phoneticPr fontId="1"/>
  </si>
  <si>
    <t>業務領域（卸売）</t>
    <rPh sb="0" eb="2">
      <t>ギョウム</t>
    </rPh>
    <rPh sb="2" eb="4">
      <t>リョウイキ</t>
    </rPh>
    <rPh sb="5" eb="7">
      <t>オロシウリ</t>
    </rPh>
    <phoneticPr fontId="1"/>
  </si>
  <si>
    <t>業務領域（小売）</t>
    <rPh sb="0" eb="2">
      <t>ギョウム</t>
    </rPh>
    <rPh sb="2" eb="4">
      <t>リョウイキ</t>
    </rPh>
    <rPh sb="5" eb="7">
      <t>コウ</t>
    </rPh>
    <phoneticPr fontId="1"/>
  </si>
  <si>
    <t>業務領域（宿泊）</t>
    <rPh sb="0" eb="2">
      <t>ギョウム</t>
    </rPh>
    <rPh sb="2" eb="4">
      <t>リョウイキ</t>
    </rPh>
    <rPh sb="5" eb="7">
      <t>シュクハク</t>
    </rPh>
    <phoneticPr fontId="1"/>
  </si>
  <si>
    <t>業務領域（飲食）</t>
    <rPh sb="0" eb="2">
      <t>ギョウム</t>
    </rPh>
    <rPh sb="2" eb="4">
      <t>リョウイキ</t>
    </rPh>
    <rPh sb="5" eb="7">
      <t>インショク</t>
    </rPh>
    <phoneticPr fontId="1"/>
  </si>
  <si>
    <t>あり</t>
    <phoneticPr fontId="1"/>
  </si>
  <si>
    <t>自動</t>
    <rPh sb="0" eb="2">
      <t>ジドウ</t>
    </rPh>
    <phoneticPr fontId="1"/>
  </si>
  <si>
    <t>自動清掃ロボット</t>
    <rPh sb="0" eb="2">
      <t>ジドウ</t>
    </rPh>
    <rPh sb="2" eb="4">
      <t>セイソウ</t>
    </rPh>
    <phoneticPr fontId="1"/>
  </si>
  <si>
    <t>共通</t>
    <rPh sb="0" eb="2">
      <t>キョウツウ</t>
    </rPh>
    <phoneticPr fontId="1"/>
  </si>
  <si>
    <t>施設管理</t>
    <rPh sb="0" eb="2">
      <t>シセツ</t>
    </rPh>
    <rPh sb="2" eb="4">
      <t>カンリ</t>
    </rPh>
    <phoneticPr fontId="1"/>
  </si>
  <si>
    <t>企画・営業</t>
    <rPh sb="0" eb="2">
      <t>キカク</t>
    </rPh>
    <rPh sb="3" eb="5">
      <t>エイギョウ</t>
    </rPh>
    <phoneticPr fontId="1"/>
  </si>
  <si>
    <t>不要</t>
    <rPh sb="0" eb="2">
      <t>フヨウ</t>
    </rPh>
    <phoneticPr fontId="1"/>
  </si>
  <si>
    <t>なし</t>
    <phoneticPr fontId="1"/>
  </si>
  <si>
    <t>自動配膳ロボット</t>
    <rPh sb="0" eb="2">
      <t>ジドウ</t>
    </rPh>
    <rPh sb="2" eb="4">
      <t>ハイゼン</t>
    </rPh>
    <phoneticPr fontId="1"/>
  </si>
  <si>
    <t>建設業</t>
    <rPh sb="0" eb="3">
      <t>ケンセツギョウ</t>
    </rPh>
    <phoneticPr fontId="1"/>
  </si>
  <si>
    <t>人事・労務管理</t>
    <rPh sb="0" eb="2">
      <t>ジンジ</t>
    </rPh>
    <rPh sb="3" eb="5">
      <t>ロウム</t>
    </rPh>
    <rPh sb="5" eb="7">
      <t>カンリ</t>
    </rPh>
    <phoneticPr fontId="1"/>
  </si>
  <si>
    <t>見積・契約</t>
    <rPh sb="0" eb="2">
      <t>ミツ</t>
    </rPh>
    <rPh sb="3" eb="5">
      <t>ケイヤク</t>
    </rPh>
    <phoneticPr fontId="1"/>
  </si>
  <si>
    <t>受付案内</t>
    <rPh sb="0" eb="2">
      <t>ウケツケ</t>
    </rPh>
    <rPh sb="2" eb="4">
      <t>アンナイ</t>
    </rPh>
    <phoneticPr fontId="1"/>
  </si>
  <si>
    <t>仕入</t>
    <rPh sb="0" eb="2">
      <t>シイ</t>
    </rPh>
    <phoneticPr fontId="1"/>
  </si>
  <si>
    <t>券売機</t>
    <rPh sb="0" eb="3">
      <t>ケンバイキ</t>
    </rPh>
    <phoneticPr fontId="1"/>
  </si>
  <si>
    <t>財務・経理</t>
    <rPh sb="0" eb="2">
      <t>ザイム</t>
    </rPh>
    <rPh sb="3" eb="5">
      <t>ケイリ</t>
    </rPh>
    <phoneticPr fontId="1"/>
  </si>
  <si>
    <t>資材調達</t>
    <rPh sb="0" eb="2">
      <t>シザイ</t>
    </rPh>
    <rPh sb="2" eb="4">
      <t>チョウタツ</t>
    </rPh>
    <phoneticPr fontId="1"/>
  </si>
  <si>
    <t>予約管理</t>
    <rPh sb="0" eb="2">
      <t>ヨヤク</t>
    </rPh>
    <rPh sb="2" eb="4">
      <t>カンリ</t>
    </rPh>
    <phoneticPr fontId="1"/>
  </si>
  <si>
    <t>注文受付</t>
    <rPh sb="0" eb="2">
      <t>チュウモン</t>
    </rPh>
    <rPh sb="2" eb="3">
      <t>ウ</t>
    </rPh>
    <rPh sb="3" eb="4">
      <t>ツ</t>
    </rPh>
    <phoneticPr fontId="1"/>
  </si>
  <si>
    <t>自動精算機</t>
    <rPh sb="0" eb="2">
      <t>ジドウ</t>
    </rPh>
    <rPh sb="2" eb="5">
      <t>セイサンキ</t>
    </rPh>
    <phoneticPr fontId="1"/>
  </si>
  <si>
    <t>調査・測量</t>
    <rPh sb="0" eb="2">
      <t>チョウサ</t>
    </rPh>
    <rPh sb="3" eb="5">
      <t>ソクリョウ</t>
    </rPh>
    <phoneticPr fontId="1"/>
  </si>
  <si>
    <t>加工・生産</t>
    <rPh sb="0" eb="2">
      <t>カコウ</t>
    </rPh>
    <rPh sb="3" eb="5">
      <t>セイサン</t>
    </rPh>
    <phoneticPr fontId="1"/>
  </si>
  <si>
    <t>保管・在庫管理</t>
    <rPh sb="0" eb="2">
      <t>ホカン</t>
    </rPh>
    <rPh sb="3" eb="5">
      <t>ザイコ</t>
    </rPh>
    <rPh sb="5" eb="7">
      <t>カンリ</t>
    </rPh>
    <phoneticPr fontId="1"/>
  </si>
  <si>
    <t>調理</t>
    <rPh sb="0" eb="2">
      <t>チョウリ</t>
    </rPh>
    <phoneticPr fontId="1"/>
  </si>
  <si>
    <t>自動チェックイン機（設置型）</t>
    <rPh sb="0" eb="2">
      <t>ジドウ</t>
    </rPh>
    <rPh sb="8" eb="9">
      <t>キ</t>
    </rPh>
    <rPh sb="10" eb="12">
      <t>セッチ</t>
    </rPh>
    <rPh sb="12" eb="13">
      <t>ガタ</t>
    </rPh>
    <phoneticPr fontId="1"/>
  </si>
  <si>
    <t>卸売業</t>
  </si>
  <si>
    <t>施工</t>
    <rPh sb="0" eb="2">
      <t>セコウ</t>
    </rPh>
    <phoneticPr fontId="1"/>
  </si>
  <si>
    <t>検査</t>
    <rPh sb="0" eb="2">
      <t>ケンサ</t>
    </rPh>
    <phoneticPr fontId="1"/>
  </si>
  <si>
    <t>店舗運営</t>
    <rPh sb="0" eb="2">
      <t>テンポ</t>
    </rPh>
    <rPh sb="2" eb="4">
      <t>ウンエイ</t>
    </rPh>
    <phoneticPr fontId="1"/>
  </si>
  <si>
    <t>配膳・下膳</t>
    <rPh sb="0" eb="2">
      <t>ハイゼン</t>
    </rPh>
    <rPh sb="3" eb="4">
      <t>サ</t>
    </rPh>
    <rPh sb="4" eb="5">
      <t>ゼン</t>
    </rPh>
    <phoneticPr fontId="1"/>
  </si>
  <si>
    <t>スチームコンベクションオーブン</t>
  </si>
  <si>
    <t>梱包・加工</t>
    <rPh sb="0" eb="2">
      <t>コンポウ</t>
    </rPh>
    <rPh sb="3" eb="5">
      <t>カコウ</t>
    </rPh>
    <phoneticPr fontId="1"/>
  </si>
  <si>
    <t>請求・支払</t>
    <rPh sb="0" eb="2">
      <t>セイキュウ</t>
    </rPh>
    <rPh sb="3" eb="5">
      <t>シハラ</t>
    </rPh>
    <phoneticPr fontId="1"/>
  </si>
  <si>
    <t>自動倉庫</t>
    <rPh sb="0" eb="2">
      <t>ジドウ</t>
    </rPh>
    <rPh sb="2" eb="4">
      <t>ソウコ</t>
    </rPh>
    <phoneticPr fontId="1"/>
  </si>
  <si>
    <t>宿泊業</t>
    <rPh sb="0" eb="2">
      <t>シュクハク</t>
    </rPh>
    <rPh sb="2" eb="3">
      <t>ギョウ</t>
    </rPh>
    <phoneticPr fontId="1"/>
  </si>
  <si>
    <t>引渡</t>
    <rPh sb="0" eb="1">
      <t>ヒ</t>
    </rPh>
    <rPh sb="1" eb="2">
      <t>ワタ</t>
    </rPh>
    <phoneticPr fontId="1"/>
  </si>
  <si>
    <t>出荷</t>
    <rPh sb="0" eb="2">
      <t>シュッカ</t>
    </rPh>
    <phoneticPr fontId="1"/>
  </si>
  <si>
    <t>販売・納品</t>
    <rPh sb="0" eb="2">
      <t>ハンバイ</t>
    </rPh>
    <rPh sb="3" eb="5">
      <t>ノウヒン</t>
    </rPh>
    <phoneticPr fontId="1"/>
  </si>
  <si>
    <t>客室清掃</t>
    <rPh sb="0" eb="2">
      <t>キャクシツ</t>
    </rPh>
    <rPh sb="2" eb="4">
      <t>セイソウ</t>
    </rPh>
    <phoneticPr fontId="1"/>
  </si>
  <si>
    <t>顧客対応</t>
    <rPh sb="0" eb="2">
      <t>コキャク</t>
    </rPh>
    <rPh sb="2" eb="4">
      <t>タイオウ</t>
    </rPh>
    <phoneticPr fontId="1"/>
  </si>
  <si>
    <t>自動検品システム</t>
    <rPh sb="0" eb="2">
      <t>ジドウ</t>
    </rPh>
    <rPh sb="2" eb="4">
      <t>ケンピン</t>
    </rPh>
    <phoneticPr fontId="1"/>
  </si>
  <si>
    <t>飲食サービス業</t>
  </si>
  <si>
    <t>アフターサービス</t>
  </si>
  <si>
    <t>返品対応</t>
    <rPh sb="0" eb="2">
      <t>ヘンピン</t>
    </rPh>
    <rPh sb="2" eb="4">
      <t>タイオウ</t>
    </rPh>
    <phoneticPr fontId="1"/>
  </si>
  <si>
    <t>AGV(無人搬送車）</t>
    <rPh sb="4" eb="6">
      <t>ムジン</t>
    </rPh>
    <rPh sb="6" eb="9">
      <t>ハンソウシャ</t>
    </rPh>
    <phoneticPr fontId="1"/>
  </si>
  <si>
    <t>AMR(自律走行搬送ロボット）</t>
    <rPh sb="4" eb="6">
      <t>ジリツ</t>
    </rPh>
    <rPh sb="6" eb="8">
      <t>ソウコウ</t>
    </rPh>
    <rPh sb="8" eb="10">
      <t>ハンソウ</t>
    </rPh>
    <phoneticPr fontId="1"/>
  </si>
  <si>
    <t>固定欄</t>
    <rPh sb="0" eb="2">
      <t>コテイ</t>
    </rPh>
    <rPh sb="2" eb="3">
      <t>ラン</t>
    </rPh>
    <phoneticPr fontId="1"/>
  </si>
  <si>
    <t>入力欄</t>
    <rPh sb="0" eb="3">
      <t>ニュウリョクラン</t>
    </rPh>
    <phoneticPr fontId="1"/>
  </si>
  <si>
    <t>連動欄</t>
    <rPh sb="0" eb="2">
      <t>レンドウ</t>
    </rPh>
    <rPh sb="2" eb="3">
      <t>ラン</t>
    </rPh>
    <phoneticPr fontId="1"/>
  </si>
  <si>
    <t>審査欄</t>
    <rPh sb="0" eb="2">
      <t>シンサ</t>
    </rPh>
    <rPh sb="2" eb="3">
      <t>ラン</t>
    </rPh>
    <phoneticPr fontId="1"/>
  </si>
  <si>
    <t>中小企業省力化投資補助事業　製品審査申請用紙（工業会用）</t>
    <rPh sb="0" eb="2">
      <t>チュウショウ</t>
    </rPh>
    <rPh sb="2" eb="4">
      <t>キギョウ</t>
    </rPh>
    <rPh sb="4" eb="7">
      <t>ショウリョクカ</t>
    </rPh>
    <rPh sb="7" eb="9">
      <t>トウシ</t>
    </rPh>
    <rPh sb="9" eb="11">
      <t>ホジョ</t>
    </rPh>
    <rPh sb="11" eb="13">
      <t>ジギョウ</t>
    </rPh>
    <rPh sb="14" eb="16">
      <t>セイヒン</t>
    </rPh>
    <rPh sb="16" eb="18">
      <t>シンサ</t>
    </rPh>
    <rPh sb="18" eb="20">
      <t>シンセイ</t>
    </rPh>
    <rPh sb="20" eb="22">
      <t>ヨウシ</t>
    </rPh>
    <rPh sb="23" eb="26">
      <t>コウギョウカイ</t>
    </rPh>
    <rPh sb="26" eb="27">
      <t>ヨウ</t>
    </rPh>
    <phoneticPr fontId="1"/>
  </si>
  <si>
    <t>省力化製品・省力化製品製造事業者 登録要領３－２．(２)に記載の要件について、弊社の提供する上記製品を下記の通り申請します。</t>
    <rPh sb="0" eb="2">
      <t>ショウリョク</t>
    </rPh>
    <rPh sb="2" eb="3">
      <t>カ</t>
    </rPh>
    <rPh sb="3" eb="5">
      <t>セイヒン</t>
    </rPh>
    <rPh sb="6" eb="8">
      <t>ショウリョク</t>
    </rPh>
    <rPh sb="8" eb="9">
      <t>カ</t>
    </rPh>
    <rPh sb="9" eb="11">
      <t>セイヒン</t>
    </rPh>
    <rPh sb="11" eb="13">
      <t>セイゾウ</t>
    </rPh>
    <rPh sb="13" eb="15">
      <t>ジギョウ</t>
    </rPh>
    <rPh sb="15" eb="16">
      <t>シャ</t>
    </rPh>
    <rPh sb="17" eb="19">
      <t>トウロク</t>
    </rPh>
    <rPh sb="19" eb="21">
      <t>ヨウリョウ</t>
    </rPh>
    <phoneticPr fontId="1"/>
  </si>
  <si>
    <t>　</t>
    <phoneticPr fontId="1"/>
  </si>
  <si>
    <t>顧客対応</t>
    <rPh sb="0" eb="4">
      <t>コキャクタイオウ</t>
    </rPh>
    <phoneticPr fontId="1"/>
  </si>
  <si>
    <t>アフターサービス</t>
    <phoneticPr fontId="1"/>
  </si>
  <si>
    <t>添付資料②-1.</t>
    <rPh sb="0" eb="4">
      <t>テンプシリョウ</t>
    </rPh>
    <phoneticPr fontId="1"/>
  </si>
  <si>
    <t>添付資料②-2.</t>
    <rPh sb="0" eb="4">
      <t>テンプシリョウ</t>
    </rPh>
    <phoneticPr fontId="1"/>
  </si>
  <si>
    <t>添付資料②-3.</t>
    <rPh sb="0" eb="4">
      <t>テンプシリョウ</t>
    </rPh>
    <phoneticPr fontId="1"/>
  </si>
  <si>
    <t>添付資料②-4.</t>
    <rPh sb="0" eb="4">
      <t>テンプシリョウ</t>
    </rPh>
    <phoneticPr fontId="1"/>
  </si>
  <si>
    <t>添付資料②-5.</t>
    <rPh sb="0" eb="4">
      <t>テンプシリョウ</t>
    </rPh>
    <phoneticPr fontId="1"/>
  </si>
  <si>
    <t>※枠が不足する場合は適宜行を追加すること。</t>
    <rPh sb="1" eb="2">
      <t>ワク</t>
    </rPh>
    <rPh sb="3" eb="5">
      <t>フソク</t>
    </rPh>
    <rPh sb="7" eb="9">
      <t>バアイ</t>
    </rPh>
    <rPh sb="10" eb="12">
      <t>テキギ</t>
    </rPh>
    <rPh sb="12" eb="13">
      <t>ギョウ</t>
    </rPh>
    <rPh sb="14" eb="16">
      <t>ツイカ</t>
    </rPh>
    <phoneticPr fontId="1"/>
  </si>
  <si>
    <t>審査結果（工業会記載欄）</t>
    <rPh sb="0" eb="2">
      <t>シンサ</t>
    </rPh>
    <rPh sb="2" eb="4">
      <t>ケッカ</t>
    </rPh>
    <rPh sb="5" eb="8">
      <t>コウギョウカイ</t>
    </rPh>
    <rPh sb="8" eb="10">
      <t>キサイ</t>
    </rPh>
    <rPh sb="10" eb="11">
      <t>ラン</t>
    </rPh>
    <phoneticPr fontId="1"/>
  </si>
  <si>
    <t>工業会名</t>
  </si>
  <si>
    <t>担当者所属部署名</t>
  </si>
  <si>
    <t>担当者名</t>
  </si>
  <si>
    <t>担当者メールアドレス</t>
  </si>
  <si>
    <t>電話番号</t>
  </si>
  <si>
    <t>中小企業省力化投資補助事業　製品審査申請用紙</t>
    <phoneticPr fontId="1"/>
  </si>
  <si>
    <t>1枚目</t>
    <rPh sb="1" eb="2">
      <t>マイ</t>
    </rPh>
    <rPh sb="2" eb="3">
      <t>メ</t>
    </rPh>
    <phoneticPr fontId="1"/>
  </si>
  <si>
    <t>※★印の項目はカタログに掲載される情報として公開されます。</t>
    <rPh sb="2" eb="3">
      <t>シルシ</t>
    </rPh>
    <rPh sb="4" eb="6">
      <t>コウモク</t>
    </rPh>
    <phoneticPr fontId="1"/>
  </si>
  <si>
    <t>〇製造事業者の情報</t>
    <rPh sb="1" eb="3">
      <t>セイゾウ</t>
    </rPh>
    <rPh sb="3" eb="5">
      <t>ジギョウ</t>
    </rPh>
    <rPh sb="5" eb="6">
      <t>シャ</t>
    </rPh>
    <rPh sb="7" eb="9">
      <t>ジョウホウ</t>
    </rPh>
    <phoneticPr fontId="1"/>
  </si>
  <si>
    <t>事業者名(★)</t>
    <rPh sb="0" eb="2">
      <t>ジギョウ</t>
    </rPh>
    <rPh sb="2" eb="3">
      <t>シャ</t>
    </rPh>
    <rPh sb="3" eb="4">
      <t>メイ</t>
    </rPh>
    <phoneticPr fontId="1"/>
  </si>
  <si>
    <t>担当者所属</t>
    <rPh sb="0" eb="3">
      <t>タントウシャ</t>
    </rPh>
    <rPh sb="3" eb="5">
      <t>ショゾク</t>
    </rPh>
    <phoneticPr fontId="1"/>
  </si>
  <si>
    <r>
      <rPr>
        <sz val="6"/>
        <color theme="1"/>
        <rFont val="ＭＳ ゴシック"/>
        <family val="3"/>
        <charset val="128"/>
      </rPr>
      <t>ふりがな</t>
    </r>
    <r>
      <rPr>
        <sz val="10"/>
        <color theme="1"/>
        <rFont val="ＭＳ ゴシック"/>
        <family val="3"/>
        <charset val="128"/>
      </rPr>
      <t xml:space="preserve">
担当者氏名</t>
    </r>
    <rPh sb="5" eb="8">
      <t>タントウシャ</t>
    </rPh>
    <rPh sb="8" eb="10">
      <t>シメイ</t>
    </rPh>
    <phoneticPr fontId="1"/>
  </si>
  <si>
    <t>担当者連絡先</t>
    <rPh sb="0" eb="3">
      <t>タントウシャ</t>
    </rPh>
    <rPh sb="3" eb="5">
      <t>レンラク</t>
    </rPh>
    <rPh sb="5" eb="6">
      <t>サキ</t>
    </rPh>
    <phoneticPr fontId="1"/>
  </si>
  <si>
    <t>担当者
メールアドレス</t>
    <rPh sb="0" eb="3">
      <t>タントウシャ</t>
    </rPh>
    <phoneticPr fontId="1"/>
  </si>
  <si>
    <t>〇製品の情報</t>
    <rPh sb="1" eb="3">
      <t>セイヒン</t>
    </rPh>
    <rPh sb="4" eb="6">
      <t>ジョウホウ</t>
    </rPh>
    <phoneticPr fontId="1"/>
  </si>
  <si>
    <t>製品名称(★)</t>
    <rPh sb="0" eb="2">
      <t>セイヒン</t>
    </rPh>
    <rPh sb="2" eb="4">
      <t>メイショウ</t>
    </rPh>
    <phoneticPr fontId="1"/>
  </si>
  <si>
    <t>製品型番</t>
    <rPh sb="0" eb="2">
      <t>セイヒン</t>
    </rPh>
    <rPh sb="2" eb="4">
      <t>カタバン</t>
    </rPh>
    <phoneticPr fontId="1"/>
  </si>
  <si>
    <t>製品概要(★)</t>
    <rPh sb="0" eb="2">
      <t>セイヒン</t>
    </rPh>
    <rPh sb="2" eb="4">
      <t>ガイヨウ</t>
    </rPh>
    <phoneticPr fontId="1"/>
  </si>
  <si>
    <t>製品URL(★)</t>
    <rPh sb="0" eb="2">
      <t>セイヒン</t>
    </rPh>
    <phoneticPr fontId="1"/>
  </si>
  <si>
    <t>〇所属カテゴリ情報</t>
    <rPh sb="1" eb="3">
      <t>ショゾク</t>
    </rPh>
    <rPh sb="7" eb="9">
      <t>ジョウホウ</t>
    </rPh>
    <phoneticPr fontId="1"/>
  </si>
  <si>
    <t>所属カテゴリ</t>
    <rPh sb="0" eb="2">
      <t>ショゾク</t>
    </rPh>
    <phoneticPr fontId="1"/>
  </si>
  <si>
    <t>業種・業務領域</t>
    <rPh sb="0" eb="2">
      <t>ギョウシュ</t>
    </rPh>
    <rPh sb="3" eb="7">
      <t>ギョウムリョウイキ</t>
    </rPh>
    <phoneticPr fontId="1"/>
  </si>
  <si>
    <t>〇価格・費用情報</t>
    <rPh sb="1" eb="3">
      <t>カカク</t>
    </rPh>
    <rPh sb="4" eb="6">
      <t>ヒヨウ</t>
    </rPh>
    <rPh sb="6" eb="8">
      <t>ジョウホウ</t>
    </rPh>
    <phoneticPr fontId="1"/>
  </si>
  <si>
    <t>◆その他費用</t>
    <rPh sb="3" eb="4">
      <t>タ</t>
    </rPh>
    <rPh sb="4" eb="6">
      <t>ヒヨウ</t>
    </rPh>
    <phoneticPr fontId="1"/>
  </si>
  <si>
    <t>導入・設定費用</t>
    <rPh sb="0" eb="2">
      <t>ドウニュウ</t>
    </rPh>
    <rPh sb="3" eb="5">
      <t>セッテイ</t>
    </rPh>
    <rPh sb="5" eb="7">
      <t>ヒヨウ</t>
    </rPh>
    <phoneticPr fontId="1"/>
  </si>
  <si>
    <t>◆（導入・設定費用がある場合のみ記入）導入に要する経費（導入・設定費用）の内容</t>
    <rPh sb="2" eb="4">
      <t>ドウニュウ</t>
    </rPh>
    <rPh sb="5" eb="7">
      <t>セッテイ</t>
    </rPh>
    <rPh sb="7" eb="9">
      <t>ヒヨウ</t>
    </rPh>
    <rPh sb="12" eb="14">
      <t>バアイ</t>
    </rPh>
    <rPh sb="16" eb="18">
      <t>キニュウ</t>
    </rPh>
    <rPh sb="19" eb="21">
      <t>ドウニュウ</t>
    </rPh>
    <rPh sb="22" eb="23">
      <t>ヨウ</t>
    </rPh>
    <rPh sb="25" eb="27">
      <t>ケイヒ</t>
    </rPh>
    <rPh sb="28" eb="30">
      <t>ドウニュウ</t>
    </rPh>
    <rPh sb="31" eb="33">
      <t>セッテイ</t>
    </rPh>
    <rPh sb="33" eb="35">
      <t>ヒヨウ</t>
    </rPh>
    <rPh sb="37" eb="39">
      <t>ナイヨウ</t>
    </rPh>
    <phoneticPr fontId="1"/>
  </si>
  <si>
    <t>※運搬、設置、導入費等が補助対象となる。建物、付帯設備の資産性向上にかかる導入経費は補助対象外。</t>
    <rPh sb="1" eb="3">
      <t>ウンパン</t>
    </rPh>
    <rPh sb="4" eb="6">
      <t>セッチ</t>
    </rPh>
    <rPh sb="7" eb="10">
      <t>ドウニュウヒ</t>
    </rPh>
    <rPh sb="10" eb="11">
      <t>トウ</t>
    </rPh>
    <rPh sb="12" eb="14">
      <t>ホジョ</t>
    </rPh>
    <rPh sb="14" eb="16">
      <t>タイショウ</t>
    </rPh>
    <phoneticPr fontId="1"/>
  </si>
  <si>
    <t>2枚目</t>
    <rPh sb="1" eb="2">
      <t>マイ</t>
    </rPh>
    <rPh sb="2" eb="3">
      <t>メ</t>
    </rPh>
    <phoneticPr fontId="1"/>
  </si>
  <si>
    <t>〇宣誓事項</t>
    <rPh sb="1" eb="3">
      <t>センセイ</t>
    </rPh>
    <rPh sb="3" eb="5">
      <t>ジコウ</t>
    </rPh>
    <phoneticPr fontId="1"/>
  </si>
  <si>
    <t>以下の内容に、同意の上、申請を行ってください。</t>
    <rPh sb="0" eb="2">
      <t>イカ</t>
    </rPh>
    <rPh sb="3" eb="5">
      <t>ナイヨウ</t>
    </rPh>
    <rPh sb="7" eb="9">
      <t>ドウイ</t>
    </rPh>
    <rPh sb="10" eb="11">
      <t>ウエ</t>
    </rPh>
    <rPh sb="12" eb="14">
      <t>シンセイ</t>
    </rPh>
    <rPh sb="15" eb="16">
      <t>イ</t>
    </rPh>
    <phoneticPr fontId="1"/>
  </si>
  <si>
    <t>ア</t>
    <phoneticPr fontId="1"/>
  </si>
  <si>
    <t>イ</t>
    <phoneticPr fontId="1"/>
  </si>
  <si>
    <t>ウ</t>
    <phoneticPr fontId="1"/>
  </si>
  <si>
    <t>エ</t>
    <phoneticPr fontId="1"/>
  </si>
  <si>
    <t>販売が開始されており、製造・販売された実績を有していること。</t>
    <phoneticPr fontId="1"/>
  </si>
  <si>
    <t>オ</t>
    <phoneticPr fontId="1"/>
  </si>
  <si>
    <t>税法上の機械設備又は器具備品であること。</t>
    <phoneticPr fontId="1"/>
  </si>
  <si>
    <t>カ</t>
    <phoneticPr fontId="1"/>
  </si>
  <si>
    <t>キ</t>
    <phoneticPr fontId="1"/>
  </si>
  <si>
    <t>ク</t>
    <phoneticPr fontId="1"/>
  </si>
  <si>
    <t>対象外となる
製品の要件</t>
    <rPh sb="0" eb="3">
      <t>タイショウガイ</t>
    </rPh>
    <rPh sb="7" eb="9">
      <t>セイヒン</t>
    </rPh>
    <rPh sb="10" eb="12">
      <t>ヨウケン</t>
    </rPh>
    <phoneticPr fontId="1"/>
  </si>
  <si>
    <t>ケ</t>
    <phoneticPr fontId="1"/>
  </si>
  <si>
    <t>コ</t>
    <phoneticPr fontId="1"/>
  </si>
  <si>
    <t>サ</t>
    <phoneticPr fontId="1"/>
  </si>
  <si>
    <t>シ</t>
    <phoneticPr fontId="1"/>
  </si>
  <si>
    <t>ス</t>
    <phoneticPr fontId="1"/>
  </si>
  <si>
    <t>セ</t>
    <phoneticPr fontId="1"/>
  </si>
  <si>
    <t>ソ</t>
    <phoneticPr fontId="1"/>
  </si>
  <si>
    <t>中小企業省力化投資補助事業　省力化製品製造事業者登録申請用紙</t>
    <phoneticPr fontId="1"/>
  </si>
  <si>
    <t>事業者名</t>
    <rPh sb="0" eb="2">
      <t>ジギョウ</t>
    </rPh>
    <rPh sb="2" eb="3">
      <t>シャ</t>
    </rPh>
    <rPh sb="3" eb="4">
      <t>メイ</t>
    </rPh>
    <phoneticPr fontId="1"/>
  </si>
  <si>
    <t>所在地(★)</t>
    <rPh sb="0" eb="3">
      <t>ショザイチ</t>
    </rPh>
    <phoneticPr fontId="1"/>
  </si>
  <si>
    <t>事業者URL(★)</t>
    <rPh sb="0" eb="3">
      <t>ジギョウシャ</t>
    </rPh>
    <phoneticPr fontId="1"/>
  </si>
  <si>
    <t>法人番号</t>
    <rPh sb="0" eb="4">
      <t>ホウジンバンゴウ</t>
    </rPh>
    <phoneticPr fontId="1"/>
  </si>
  <si>
    <t>〇保守・サポート体制の情報</t>
    <rPh sb="1" eb="3">
      <t>ホシュ</t>
    </rPh>
    <rPh sb="8" eb="10">
      <t>タイセイ</t>
    </rPh>
    <rPh sb="11" eb="13">
      <t>ジョウホウ</t>
    </rPh>
    <phoneticPr fontId="1"/>
  </si>
  <si>
    <t>保守・
サポート体制</t>
    <rPh sb="0" eb="2">
      <t>ホシュ</t>
    </rPh>
    <rPh sb="8" eb="10">
      <t>タイセイ</t>
    </rPh>
    <phoneticPr fontId="1"/>
  </si>
  <si>
    <t>〇パートナーシップ構築宣言のURL</t>
    <rPh sb="9" eb="11">
      <t>コウチク</t>
    </rPh>
    <rPh sb="11" eb="13">
      <t>センゲン</t>
    </rPh>
    <phoneticPr fontId="1"/>
  </si>
  <si>
    <t>URL</t>
    <phoneticPr fontId="1"/>
  </si>
  <si>
    <t>基本事項</t>
    <rPh sb="0" eb="2">
      <t>キホン</t>
    </rPh>
    <rPh sb="2" eb="4">
      <t>ジコウ</t>
    </rPh>
    <phoneticPr fontId="1"/>
  </si>
  <si>
    <t>経済産業省又は中小機構から補助金等停止措置又は指名停止措置をうけていないこと。</t>
    <phoneticPr fontId="1"/>
  </si>
  <si>
    <t>反社会的勢力に該当せず、今後においても、反社会的勢力との関係をもつ意思がないこと。</t>
    <phoneticPr fontId="1"/>
  </si>
  <si>
    <t>登録申請時点のみならず、登録期間中においても、訴訟や法令遵守上において、本事業遂行に支障をきたすような問題を抱えていないこと。</t>
    <phoneticPr fontId="1"/>
  </si>
  <si>
    <t>経営基盤</t>
    <phoneticPr fontId="1"/>
  </si>
  <si>
    <t>供給・サポート体制に関する事項</t>
    <rPh sb="0" eb="2">
      <t>キョウキュウ</t>
    </rPh>
    <rPh sb="7" eb="9">
      <t>タイセイ</t>
    </rPh>
    <rPh sb="10" eb="11">
      <t>カン</t>
    </rPh>
    <rPh sb="13" eb="15">
      <t>ジコウ</t>
    </rPh>
    <phoneticPr fontId="1"/>
  </si>
  <si>
    <t>事業実施時等の対応に関する事項</t>
    <phoneticPr fontId="1"/>
  </si>
  <si>
    <t>本事業の公募要領等に記載の内容を遵守することができること。</t>
    <phoneticPr fontId="1"/>
  </si>
  <si>
    <t xml:space="preserve">省力化製品の導入を検討する事業者からの問合せに対応する等、本事業ホームページや公募要領、各種手引き等を充分活用するとともに、事務局が実施する説明会や経済産業省及び中小機構等が関与する本事業関連施策に可能な限り連携し、補助事業の周知活動に取り組むこと。 </t>
    <phoneticPr fontId="1"/>
  </si>
  <si>
    <t>タ</t>
    <phoneticPr fontId="1"/>
  </si>
  <si>
    <t>チ</t>
    <phoneticPr fontId="1"/>
  </si>
  <si>
    <t>所属カテゴリ事項</t>
    <rPh sb="0" eb="2">
      <t>ショゾク</t>
    </rPh>
    <rPh sb="6" eb="8">
      <t>ジコウ</t>
    </rPh>
    <phoneticPr fontId="1"/>
  </si>
  <si>
    <t>業種/業務領域</t>
    <phoneticPr fontId="1"/>
  </si>
  <si>
    <t>登録事項</t>
    <rPh sb="0" eb="4">
      <t>トウロクジコウ</t>
    </rPh>
    <phoneticPr fontId="1"/>
  </si>
  <si>
    <t>内容</t>
    <rPh sb="0" eb="2">
      <t>ナイヨウ</t>
    </rPh>
    <phoneticPr fontId="1"/>
  </si>
  <si>
    <t>写真</t>
    <rPh sb="0" eb="2">
      <t>シャシン</t>
    </rPh>
    <phoneticPr fontId="1"/>
  </si>
  <si>
    <t>製品概要</t>
    <rPh sb="0" eb="4">
      <t>セイヒンガイヨウ</t>
    </rPh>
    <phoneticPr fontId="1"/>
  </si>
  <si>
    <t>製品の名称</t>
    <rPh sb="0" eb="2">
      <t>セイヒン</t>
    </rPh>
    <rPh sb="3" eb="5">
      <t>メイショウ</t>
    </rPh>
    <phoneticPr fontId="1"/>
  </si>
  <si>
    <t>※製品写真を添付してください
（10MB以内のデータ）</t>
    <rPh sb="1" eb="5">
      <t>セイヒンシャシン</t>
    </rPh>
    <rPh sb="6" eb="8">
      <t>テンプ</t>
    </rPh>
    <rPh sb="20" eb="22">
      <t>イナイ</t>
    </rPh>
    <phoneticPr fontId="1"/>
  </si>
  <si>
    <t>製品の概要説明</t>
    <rPh sb="0" eb="2">
      <t>セイヒン</t>
    </rPh>
    <rPh sb="3" eb="5">
      <t>ガイヨウ</t>
    </rPh>
    <rPh sb="5" eb="7">
      <t>セツメイ</t>
    </rPh>
    <phoneticPr fontId="1"/>
  </si>
  <si>
    <t>製品URL</t>
    <rPh sb="0" eb="2">
      <t>セイヒン</t>
    </rPh>
    <phoneticPr fontId="1"/>
  </si>
  <si>
    <t>製造事業者
の概要</t>
    <rPh sb="0" eb="2">
      <t>セイゾウ</t>
    </rPh>
    <rPh sb="2" eb="5">
      <t>ジギョウシャ</t>
    </rPh>
    <rPh sb="7" eb="9">
      <t>ガイヨウ</t>
    </rPh>
    <phoneticPr fontId="1"/>
  </si>
  <si>
    <t>製造事業者名</t>
    <rPh sb="0" eb="2">
      <t>セイゾウ</t>
    </rPh>
    <rPh sb="2" eb="5">
      <t>ジギョウシャ</t>
    </rPh>
    <rPh sb="5" eb="6">
      <t>メイ</t>
    </rPh>
    <phoneticPr fontId="1"/>
  </si>
  <si>
    <t>製造事業者の所在地</t>
    <rPh sb="0" eb="2">
      <t>セイゾウ</t>
    </rPh>
    <rPh sb="2" eb="5">
      <t>ジギョウシャ</t>
    </rPh>
    <rPh sb="6" eb="9">
      <t>ショザイチ</t>
    </rPh>
    <phoneticPr fontId="1"/>
  </si>
  <si>
    <t>製造事業者URL</t>
    <rPh sb="0" eb="2">
      <t>セイゾウ</t>
    </rPh>
    <rPh sb="2" eb="5">
      <t>ジギョウシャ</t>
    </rPh>
    <phoneticPr fontId="1"/>
  </si>
  <si>
    <t>中小企業省力化投資補助事業　製品審査申請　提出書類一覧</t>
    <rPh sb="21" eb="23">
      <t>テイシュツ</t>
    </rPh>
    <rPh sb="23" eb="25">
      <t>ショルイ</t>
    </rPh>
    <rPh sb="25" eb="27">
      <t>イチラン</t>
    </rPh>
    <phoneticPr fontId="1"/>
  </si>
  <si>
    <t>〇申請時に提出が必要な書類</t>
    <rPh sb="1" eb="3">
      <t>シンセイ</t>
    </rPh>
    <rPh sb="3" eb="4">
      <t>ジ</t>
    </rPh>
    <rPh sb="5" eb="7">
      <t>テイシュツ</t>
    </rPh>
    <rPh sb="8" eb="10">
      <t>ヒツヨウ</t>
    </rPh>
    <rPh sb="11" eb="13">
      <t>ショルイ</t>
    </rPh>
    <phoneticPr fontId="1"/>
  </si>
  <si>
    <t>No.</t>
    <phoneticPr fontId="1"/>
  </si>
  <si>
    <t>提出</t>
    <rPh sb="0" eb="2">
      <t>テイシュツ</t>
    </rPh>
    <phoneticPr fontId="1"/>
  </si>
  <si>
    <t>書類名</t>
    <rPh sb="0" eb="2">
      <t>ショルイ</t>
    </rPh>
    <rPh sb="2" eb="3">
      <t>メイ</t>
    </rPh>
    <phoneticPr fontId="1"/>
  </si>
  <si>
    <t>詳細</t>
    <rPh sb="0" eb="2">
      <t>ショウサイ</t>
    </rPh>
    <phoneticPr fontId="1"/>
  </si>
  <si>
    <t>◆製造事業者に関連する書類</t>
    <rPh sb="1" eb="3">
      <t>セイゾウ</t>
    </rPh>
    <rPh sb="3" eb="5">
      <t>ジギョウ</t>
    </rPh>
    <rPh sb="5" eb="6">
      <t>シャ</t>
    </rPh>
    <rPh sb="7" eb="9">
      <t>カンレン</t>
    </rPh>
    <rPh sb="11" eb="13">
      <t>ショルイ</t>
    </rPh>
    <phoneticPr fontId="1"/>
  </si>
  <si>
    <t>履歴事項全部証明書写し</t>
    <rPh sb="0" eb="2">
      <t>リレキ</t>
    </rPh>
    <rPh sb="2" eb="4">
      <t>ジコウ</t>
    </rPh>
    <rPh sb="4" eb="6">
      <t>ゼンブ</t>
    </rPh>
    <rPh sb="6" eb="9">
      <t>ショウメイショ</t>
    </rPh>
    <rPh sb="9" eb="10">
      <t>ウツ</t>
    </rPh>
    <phoneticPr fontId="1"/>
  </si>
  <si>
    <t>発行から３か月以内のもの</t>
    <phoneticPr fontId="1"/>
  </si>
  <si>
    <t xml:space="preserve">税務署の発行する法人税の
直近の納税証明書(その１又はその２) </t>
    <phoneticPr fontId="1"/>
  </si>
  <si>
    <t>１期の決算を迎えた上で提出すること</t>
    <phoneticPr fontId="1"/>
  </si>
  <si>
    <t>決算書（損益計算書及び貸借対照表）</t>
    <rPh sb="0" eb="3">
      <t>ケッサンショ</t>
    </rPh>
    <rPh sb="4" eb="6">
      <t>ソンエキ</t>
    </rPh>
    <rPh sb="6" eb="9">
      <t>ケイサンショ</t>
    </rPh>
    <rPh sb="9" eb="10">
      <t>オヨ</t>
    </rPh>
    <rPh sb="11" eb="13">
      <t>タイシャク</t>
    </rPh>
    <rPh sb="13" eb="16">
      <t>タイショウヒョウ</t>
    </rPh>
    <phoneticPr fontId="1"/>
  </si>
  <si>
    <t>直近２期分の資料を提出すること</t>
    <rPh sb="0" eb="2">
      <t>チョッキン</t>
    </rPh>
    <rPh sb="3" eb="4">
      <t>キ</t>
    </rPh>
    <rPh sb="4" eb="5">
      <t>ブン</t>
    </rPh>
    <rPh sb="6" eb="8">
      <t>シリョウ</t>
    </rPh>
    <rPh sb="9" eb="11">
      <t>テイシュツ</t>
    </rPh>
    <phoneticPr fontId="1"/>
  </si>
  <si>
    <t>保守・サポート体制が分かる資料</t>
    <rPh sb="0" eb="2">
      <t>ホシュ</t>
    </rPh>
    <rPh sb="7" eb="9">
      <t>タイセイ</t>
    </rPh>
    <rPh sb="10" eb="11">
      <t>ワ</t>
    </rPh>
    <rPh sb="13" eb="15">
      <t>シリョウ</t>
    </rPh>
    <phoneticPr fontId="1"/>
  </si>
  <si>
    <t>HPや営業資料等を想定
全国にサポート体制があることがわかる資料を提出すること</t>
    <rPh sb="9" eb="11">
      <t>ソウテイ</t>
    </rPh>
    <rPh sb="12" eb="14">
      <t>ゼンコク</t>
    </rPh>
    <rPh sb="19" eb="21">
      <t>タイセイ</t>
    </rPh>
    <rPh sb="30" eb="32">
      <t>シリョウ</t>
    </rPh>
    <rPh sb="33" eb="35">
      <t>テイシュツ</t>
    </rPh>
    <phoneticPr fontId="1"/>
  </si>
  <si>
    <t>◆製品に関連する書類</t>
    <rPh sb="1" eb="3">
      <t>セイヒン</t>
    </rPh>
    <rPh sb="4" eb="6">
      <t>カンレン</t>
    </rPh>
    <rPh sb="8" eb="10">
      <t>ショルイ</t>
    </rPh>
    <phoneticPr fontId="1"/>
  </si>
  <si>
    <t>当該製品の納品実績を示す書類</t>
    <rPh sb="0" eb="2">
      <t>トウガイ</t>
    </rPh>
    <rPh sb="2" eb="4">
      <t>セイヒン</t>
    </rPh>
    <rPh sb="5" eb="7">
      <t>ノウヒン</t>
    </rPh>
    <rPh sb="7" eb="9">
      <t>ジッセキ</t>
    </rPh>
    <rPh sb="10" eb="11">
      <t>シメ</t>
    </rPh>
    <rPh sb="12" eb="14">
      <t>ショルイ</t>
    </rPh>
    <phoneticPr fontId="1"/>
  </si>
  <si>
    <t>販売店等への納品実績が分かる書類</t>
    <rPh sb="0" eb="3">
      <t>ハンバイテン</t>
    </rPh>
    <rPh sb="3" eb="4">
      <t>トウ</t>
    </rPh>
    <rPh sb="6" eb="8">
      <t>ノウヒン</t>
    </rPh>
    <rPh sb="8" eb="10">
      <t>ジッセキ</t>
    </rPh>
    <rPh sb="11" eb="12">
      <t>ワ</t>
    </rPh>
    <rPh sb="14" eb="16">
      <t>ショルイ</t>
    </rPh>
    <phoneticPr fontId="1"/>
  </si>
  <si>
    <t>当該製品の詳細がわかる資料</t>
    <rPh sb="0" eb="2">
      <t>トウガイ</t>
    </rPh>
    <phoneticPr fontId="1"/>
  </si>
  <si>
    <r>
      <t xml:space="preserve">申請する業務領域が確認できるもの、プランごとの価格が確認できるもの、製品の仕様がわかるもの等
</t>
    </r>
    <r>
      <rPr>
        <sz val="9"/>
        <color theme="1"/>
        <rFont val="ＭＳ ゴシック"/>
        <family val="3"/>
        <charset val="128"/>
      </rPr>
      <t>例：機能一覧、機能構成図、機能概要、寸法・消費電力等のスペック一覧、導入工程表、写真付き仕様書など
「省力化  製品・省力化製品製造事業者　登録要領　別紙１」</t>
    </r>
    <r>
      <rPr>
        <sz val="10"/>
        <color theme="1"/>
        <rFont val="ＭＳ ゴシック"/>
        <family val="3"/>
        <charset val="128"/>
      </rPr>
      <t>参照</t>
    </r>
    <phoneticPr fontId="1"/>
  </si>
  <si>
    <t>当該製品が、属する製品カテゴリにおいて設定されている省力化指標にしたがって省力化の効果を算出し、その効果が設定されている基準値を上回ることが分かる資料及びその根拠となる資料</t>
    <rPh sb="0" eb="2">
      <t>トウガイ</t>
    </rPh>
    <rPh sb="2" eb="4">
      <t>セイヒン</t>
    </rPh>
    <rPh sb="6" eb="7">
      <t>ゾク</t>
    </rPh>
    <rPh sb="9" eb="11">
      <t>セイヒン</t>
    </rPh>
    <rPh sb="19" eb="21">
      <t>セッテイ</t>
    </rPh>
    <rPh sb="26" eb="29">
      <t>ショウリョクカ</t>
    </rPh>
    <rPh sb="29" eb="31">
      <t>シヒョウ</t>
    </rPh>
    <rPh sb="37" eb="40">
      <t>ショウリョクカ</t>
    </rPh>
    <rPh sb="41" eb="43">
      <t>コウカ</t>
    </rPh>
    <rPh sb="44" eb="46">
      <t>サンシュツ</t>
    </rPh>
    <rPh sb="50" eb="52">
      <t>コウカ</t>
    </rPh>
    <rPh sb="53" eb="55">
      <t>セッテイ</t>
    </rPh>
    <rPh sb="60" eb="63">
      <t>キジュンチ</t>
    </rPh>
    <rPh sb="64" eb="66">
      <t>ウワマワ</t>
    </rPh>
    <rPh sb="70" eb="71">
      <t>ワ</t>
    </rPh>
    <rPh sb="73" eb="75">
      <t>シリョウ</t>
    </rPh>
    <rPh sb="75" eb="76">
      <t>オヨ</t>
    </rPh>
    <rPh sb="79" eb="81">
      <t>コンキョ</t>
    </rPh>
    <rPh sb="84" eb="86">
      <t>シリョウ</t>
    </rPh>
    <phoneticPr fontId="1"/>
  </si>
  <si>
    <t>工業会用の申請様式参照。製品カテゴリごとに設定され、入力が必要となる数値の根拠となる書類</t>
    <rPh sb="0" eb="3">
      <t>コウギョウカイ</t>
    </rPh>
    <rPh sb="3" eb="4">
      <t>ヨウ</t>
    </rPh>
    <rPh sb="5" eb="7">
      <t>シンセイ</t>
    </rPh>
    <rPh sb="7" eb="9">
      <t>ヨウシキ</t>
    </rPh>
    <rPh sb="9" eb="11">
      <t>サンショウ</t>
    </rPh>
    <rPh sb="12" eb="14">
      <t>セイヒン</t>
    </rPh>
    <rPh sb="21" eb="23">
      <t>セッテイ</t>
    </rPh>
    <rPh sb="26" eb="28">
      <t>ニュウリョク</t>
    </rPh>
    <rPh sb="29" eb="31">
      <t>ヒツヨウ</t>
    </rPh>
    <rPh sb="34" eb="36">
      <t>スウチ</t>
    </rPh>
    <rPh sb="37" eb="39">
      <t>コンキョ</t>
    </rPh>
    <rPh sb="42" eb="44">
      <t>ショルイ</t>
    </rPh>
    <phoneticPr fontId="1"/>
  </si>
  <si>
    <t>当該製品等を導入するための投資金額について、人件費削減効果により４年以内に回収できることが見込まれることが分かる資料</t>
    <phoneticPr fontId="1"/>
  </si>
  <si>
    <t>〇追加で求める場合がある書類</t>
    <rPh sb="1" eb="3">
      <t>ツイカ</t>
    </rPh>
    <rPh sb="4" eb="5">
      <t>モト</t>
    </rPh>
    <rPh sb="7" eb="9">
      <t>バアイ</t>
    </rPh>
    <rPh sb="12" eb="14">
      <t>ショルイ</t>
    </rPh>
    <phoneticPr fontId="1"/>
  </si>
  <si>
    <t>工業会あるいは事務局は、以下のような書類を追加で求める場合があります。</t>
    <rPh sb="0" eb="3">
      <t>コウギョウカイ</t>
    </rPh>
    <rPh sb="7" eb="10">
      <t>ジムキョク</t>
    </rPh>
    <rPh sb="12" eb="14">
      <t>イカ</t>
    </rPh>
    <rPh sb="18" eb="20">
      <t>ショルイ</t>
    </rPh>
    <rPh sb="21" eb="23">
      <t>ツイカ</t>
    </rPh>
    <rPh sb="24" eb="25">
      <t>モト</t>
    </rPh>
    <rPh sb="27" eb="29">
      <t>バアイ</t>
    </rPh>
    <phoneticPr fontId="1"/>
  </si>
  <si>
    <t>提出書類の補足資料として、申請時に提出する場合は、</t>
    <rPh sb="0" eb="2">
      <t>テイシュツ</t>
    </rPh>
    <rPh sb="2" eb="4">
      <t>ショルイ</t>
    </rPh>
    <rPh sb="5" eb="7">
      <t>ホソク</t>
    </rPh>
    <rPh sb="7" eb="9">
      <t>シリョウ</t>
    </rPh>
    <rPh sb="13" eb="15">
      <t>シンセイ</t>
    </rPh>
    <rPh sb="15" eb="16">
      <t>ジ</t>
    </rPh>
    <rPh sb="17" eb="19">
      <t>テイシュツ</t>
    </rPh>
    <rPh sb="21" eb="23">
      <t>バアイ</t>
    </rPh>
    <phoneticPr fontId="1"/>
  </si>
  <si>
    <t>以下にチェックの上、他の書類と併せて提出してください。</t>
    <rPh sb="0" eb="2">
      <t>イカ</t>
    </rPh>
    <rPh sb="8" eb="9">
      <t>ウエ</t>
    </rPh>
    <rPh sb="10" eb="11">
      <t>タ</t>
    </rPh>
    <rPh sb="12" eb="14">
      <t>ショルイ</t>
    </rPh>
    <rPh sb="15" eb="16">
      <t>アワ</t>
    </rPh>
    <rPh sb="18" eb="20">
      <t>テイシュツ</t>
    </rPh>
    <phoneticPr fontId="1"/>
  </si>
  <si>
    <t>省力化製品の導入環境等</t>
    <rPh sb="0" eb="2">
      <t>ショウリョク</t>
    </rPh>
    <rPh sb="2" eb="3">
      <t>カ</t>
    </rPh>
    <rPh sb="3" eb="5">
      <t>セイヒン</t>
    </rPh>
    <rPh sb="6" eb="8">
      <t>ドウニュウ</t>
    </rPh>
    <rPh sb="8" eb="10">
      <t>カンキョウ</t>
    </rPh>
    <rPh sb="10" eb="11">
      <t>トウ</t>
    </rPh>
    <phoneticPr fontId="1"/>
  </si>
  <si>
    <t>省力化製品の生産環境。生産工場、在庫等</t>
    <phoneticPr fontId="1"/>
  </si>
  <si>
    <t xml:space="preserve">マスターファイル類の詳細項目情報 </t>
    <rPh sb="8" eb="9">
      <t>ルイ</t>
    </rPh>
    <rPh sb="10" eb="12">
      <t>ショウサイ</t>
    </rPh>
    <rPh sb="12" eb="14">
      <t>コウモク</t>
    </rPh>
    <rPh sb="14" eb="16">
      <t>ジョウホウ</t>
    </rPh>
    <phoneticPr fontId="1"/>
  </si>
  <si>
    <t>省力化製品の個別の型番の写真等</t>
    <phoneticPr fontId="1"/>
  </si>
  <si>
    <t>■変更履歴</t>
    <rPh sb="1" eb="3">
      <t>ヘンコウ</t>
    </rPh>
    <rPh sb="3" eb="5">
      <t>リレキ</t>
    </rPh>
    <phoneticPr fontId="1"/>
  </si>
  <si>
    <t>Ver.</t>
    <phoneticPr fontId="1"/>
  </si>
  <si>
    <t>日付</t>
    <rPh sb="0" eb="2">
      <t>ヒヅケ</t>
    </rPh>
    <phoneticPr fontId="1"/>
  </si>
  <si>
    <t>変更内容</t>
    <rPh sb="0" eb="2">
      <t>ヘンコウ</t>
    </rPh>
    <rPh sb="2" eb="4">
      <t>ナイヨウ</t>
    </rPh>
    <phoneticPr fontId="1"/>
  </si>
  <si>
    <t>備考</t>
    <rPh sb="0" eb="2">
      <t>ビコウ</t>
    </rPh>
    <phoneticPr fontId="1"/>
  </si>
  <si>
    <t>Ver1.0</t>
    <phoneticPr fontId="1"/>
  </si>
  <si>
    <t>初版</t>
    <rPh sb="0" eb="2">
      <t>ショハン</t>
    </rPh>
    <phoneticPr fontId="1"/>
  </si>
  <si>
    <t>工業会審査管理番号</t>
    <rPh sb="0" eb="3">
      <t>コウギョウカイ</t>
    </rPh>
    <rPh sb="3" eb="5">
      <t>シンサ</t>
    </rPh>
    <rPh sb="5" eb="9">
      <t>カンリバンゴウ</t>
    </rPh>
    <phoneticPr fontId="1"/>
  </si>
  <si>
    <t>No.(6桁)</t>
    <rPh sb="5" eb="6">
      <t>ケタ</t>
    </rPh>
    <phoneticPr fontId="1"/>
  </si>
  <si>
    <t>事業者名</t>
    <rPh sb="0" eb="3">
      <t>ジギョウシャ</t>
    </rPh>
    <rPh sb="3" eb="4">
      <t>メイ</t>
    </rPh>
    <phoneticPr fontId="1"/>
  </si>
  <si>
    <t>型番</t>
    <rPh sb="0" eb="2">
      <t>カタバン</t>
    </rPh>
    <phoneticPr fontId="1"/>
  </si>
  <si>
    <t>省力化指数</t>
    <rPh sb="0" eb="3">
      <t>ショウリョクカ</t>
    </rPh>
    <rPh sb="3" eb="5">
      <t>シスウ</t>
    </rPh>
    <phoneticPr fontId="1"/>
  </si>
  <si>
    <t>費用対効果</t>
    <rPh sb="0" eb="5">
      <t>ヒヨウタイコウカ</t>
    </rPh>
    <phoneticPr fontId="1"/>
  </si>
  <si>
    <t>シート</t>
    <phoneticPr fontId="1"/>
  </si>
  <si>
    <t>規模</t>
    <rPh sb="0" eb="2">
      <t>キボ</t>
    </rPh>
    <phoneticPr fontId="1"/>
  </si>
  <si>
    <t>審査結果</t>
    <rPh sb="0" eb="4">
      <t>シンサケッカ</t>
    </rPh>
    <phoneticPr fontId="1"/>
  </si>
  <si>
    <t>投資回収年数</t>
    <rPh sb="0" eb="4">
      <t>トウシカイシュウ</t>
    </rPh>
    <rPh sb="4" eb="6">
      <t>ネンスウ</t>
    </rPh>
    <phoneticPr fontId="1"/>
  </si>
  <si>
    <t>リンク</t>
    <phoneticPr fontId="1"/>
  </si>
  <si>
    <t>AGV・AMR</t>
    <phoneticPr fontId="1"/>
  </si>
  <si>
    <t>【倉庫業】</t>
    <rPh sb="1" eb="4">
      <t>ソウコギョウ</t>
    </rPh>
    <phoneticPr fontId="1"/>
  </si>
  <si>
    <t>【卸売業】</t>
    <rPh sb="1" eb="4">
      <t>オロシウリギョウ</t>
    </rPh>
    <phoneticPr fontId="1"/>
  </si>
  <si>
    <t>【製造業】</t>
    <rPh sb="1" eb="4">
      <t>セイゾウギョウ</t>
    </rPh>
    <phoneticPr fontId="1"/>
  </si>
  <si>
    <t>返品対応</t>
    <rPh sb="0" eb="4">
      <t>ヘンピンタイオウ</t>
    </rPh>
    <phoneticPr fontId="1"/>
  </si>
  <si>
    <t>資材調達</t>
    <rPh sb="0" eb="4">
      <t>シザイチョウタツ</t>
    </rPh>
    <phoneticPr fontId="1"/>
  </si>
  <si>
    <t>保管・在庫管理</t>
    <rPh sb="0" eb="2">
      <t>ホカン</t>
    </rPh>
    <rPh sb="3" eb="7">
      <t>ザイコカンリ</t>
    </rPh>
    <phoneticPr fontId="1"/>
  </si>
  <si>
    <t>最大搬送重量［kg］</t>
    <rPh sb="0" eb="2">
      <t>サイダイ</t>
    </rPh>
    <rPh sb="2" eb="4">
      <t>ハンソウ</t>
    </rPh>
    <rPh sb="4" eb="6">
      <t>ジュウリョウ</t>
    </rPh>
    <phoneticPr fontId="1"/>
  </si>
  <si>
    <t>卸売業</t>
    <rPh sb="0" eb="3">
      <t>オロシウリギョウ</t>
    </rPh>
    <phoneticPr fontId="1"/>
  </si>
  <si>
    <t>小売業</t>
    <rPh sb="0" eb="2">
      <t>コウリ</t>
    </rPh>
    <rPh sb="2" eb="3">
      <t>ギョウ</t>
    </rPh>
    <phoneticPr fontId="1"/>
  </si>
  <si>
    <t>【小売業】</t>
    <rPh sb="1" eb="4">
      <t>コウリギョウ</t>
    </rPh>
    <phoneticPr fontId="1"/>
  </si>
  <si>
    <t>製品区分</t>
    <rPh sb="0" eb="2">
      <t>セイヒン</t>
    </rPh>
    <rPh sb="2" eb="4">
      <t>クブン</t>
    </rPh>
    <phoneticPr fontId="1"/>
  </si>
  <si>
    <r>
      <t>◆製品価格（</t>
    </r>
    <r>
      <rPr>
        <b/>
        <sz val="10"/>
        <rFont val="ＭＳ ゴシック"/>
        <family val="3"/>
        <charset val="128"/>
      </rPr>
      <t>②を入力</t>
    </r>
    <r>
      <rPr>
        <sz val="10"/>
        <rFont val="ＭＳ ゴシック"/>
        <family val="3"/>
        <charset val="128"/>
      </rPr>
      <t>、添付書類については別シート参照）</t>
    </r>
    <rPh sb="1" eb="3">
      <t>セイヒン</t>
    </rPh>
    <rPh sb="3" eb="5">
      <t>カカク</t>
    </rPh>
    <rPh sb="8" eb="10">
      <t>ニュウリョク</t>
    </rPh>
    <rPh sb="11" eb="13">
      <t>テンプ</t>
    </rPh>
    <rPh sb="13" eb="15">
      <t>ショルイ</t>
    </rPh>
    <rPh sb="20" eb="21">
      <t>ベツ</t>
    </rPh>
    <rPh sb="24" eb="26">
      <t>サンショウ</t>
    </rPh>
    <phoneticPr fontId="1"/>
  </si>
  <si>
    <t>Ⅰ</t>
    <phoneticPr fontId="1"/>
  </si>
  <si>
    <t>希望小売価格
（機器購入代金）</t>
    <rPh sb="2" eb="4">
      <t>コウリ</t>
    </rPh>
    <phoneticPr fontId="1"/>
  </si>
  <si>
    <r>
      <t xml:space="preserve">円
</t>
    </r>
    <r>
      <rPr>
        <sz val="9"/>
        <rFont val="ＭＳ ゴシック"/>
        <family val="3"/>
        <charset val="128"/>
      </rPr>
      <t>（税抜）</t>
    </r>
    <rPh sb="0" eb="1">
      <t>エン</t>
    </rPh>
    <rPh sb="3" eb="5">
      <t>ゼイヌ</t>
    </rPh>
    <phoneticPr fontId="1"/>
  </si>
  <si>
    <t>※［①製品審査申請書（工業会用）］シートの「機器購入代金」を表示。なお、「Ⅱ製品納品価格の実績値」と著しく乖離する場合は、訂正を依頼する場合がある。また、当該価格を超えた額を交付申請することはできない。</t>
    <rPh sb="22" eb="24">
      <t>キキ</t>
    </rPh>
    <rPh sb="24" eb="28">
      <t>コウニュウダイキン</t>
    </rPh>
    <rPh sb="30" eb="32">
      <t>ヒョウジ</t>
    </rPh>
    <rPh sb="38" eb="40">
      <t>セイヒン</t>
    </rPh>
    <rPh sb="40" eb="42">
      <t>ノウヒン</t>
    </rPh>
    <rPh sb="42" eb="44">
      <t>カカク</t>
    </rPh>
    <rPh sb="45" eb="47">
      <t>ジッセキ</t>
    </rPh>
    <rPh sb="47" eb="48">
      <t>チ</t>
    </rPh>
    <rPh sb="50" eb="51">
      <t>イチジル</t>
    </rPh>
    <rPh sb="53" eb="55">
      <t>カイリ</t>
    </rPh>
    <rPh sb="57" eb="59">
      <t>バアイ</t>
    </rPh>
    <rPh sb="61" eb="63">
      <t>テイセイ</t>
    </rPh>
    <rPh sb="64" eb="66">
      <t>イライ</t>
    </rPh>
    <rPh sb="68" eb="70">
      <t>バアイ</t>
    </rPh>
    <rPh sb="77" eb="79">
      <t>トウガイ</t>
    </rPh>
    <rPh sb="79" eb="81">
      <t>カカク</t>
    </rPh>
    <rPh sb="82" eb="83">
      <t>コ</t>
    </rPh>
    <rPh sb="85" eb="86">
      <t>ガク</t>
    </rPh>
    <rPh sb="87" eb="89">
      <t>コウフ</t>
    </rPh>
    <rPh sb="89" eb="91">
      <t>シンセイ</t>
    </rPh>
    <phoneticPr fontId="1"/>
  </si>
  <si>
    <t>Ⅱ</t>
    <phoneticPr fontId="1"/>
  </si>
  <si>
    <t>製品納品価格
の実績値</t>
    <phoneticPr fontId="1"/>
  </si>
  <si>
    <t>※［③納品実績報告書］シートの「平均納品金額」を表示。</t>
    <rPh sb="3" eb="5">
      <t>ノウヒン</t>
    </rPh>
    <rPh sb="5" eb="7">
      <t>ジッセキ</t>
    </rPh>
    <rPh sb="7" eb="9">
      <t>ホウコク</t>
    </rPh>
    <rPh sb="9" eb="10">
      <t>ショ</t>
    </rPh>
    <rPh sb="16" eb="18">
      <t>ヘイキン</t>
    </rPh>
    <rPh sb="18" eb="20">
      <t>ノウヒン</t>
    </rPh>
    <rPh sb="20" eb="22">
      <t>キンガク</t>
    </rPh>
    <phoneticPr fontId="1"/>
  </si>
  <si>
    <t>Ⅱの納入先</t>
    <rPh sb="2" eb="5">
      <t>ノウニュウサキ</t>
    </rPh>
    <phoneticPr fontId="1"/>
  </si>
  <si>
    <t>※［③納品実績報告書］シートの「納入先種別」を表示。</t>
    <phoneticPr fontId="1"/>
  </si>
  <si>
    <t>導入・設定費用
（製造事業者想定値）</t>
    <rPh sb="0" eb="2">
      <t>ドウニュウ</t>
    </rPh>
    <rPh sb="3" eb="5">
      <t>セッテイ</t>
    </rPh>
    <rPh sb="5" eb="7">
      <t>ヒヨウ</t>
    </rPh>
    <rPh sb="9" eb="11">
      <t>セイゾウ</t>
    </rPh>
    <rPh sb="11" eb="14">
      <t>ジギョウシャ</t>
    </rPh>
    <rPh sb="14" eb="16">
      <t>ソウテイ</t>
    </rPh>
    <rPh sb="16" eb="17">
      <t>チ</t>
    </rPh>
    <phoneticPr fontId="1"/>
  </si>
  <si>
    <t>※［①製品審査申請書（工業会用）］シートの「設置設定費用」を表示。
この値を上限に販売事業者が導入・設定費用（販売店想定値）を設定でき、それに基づく値が交付申請時の導入・設定費用（申請値）の補助上限額となる。</t>
    <rPh sb="22" eb="24">
      <t>セッチ</t>
    </rPh>
    <rPh sb="24" eb="26">
      <t>セッテイ</t>
    </rPh>
    <rPh sb="26" eb="28">
      <t>ヒヨウ</t>
    </rPh>
    <phoneticPr fontId="1"/>
  </si>
  <si>
    <t>概要事項</t>
    <rPh sb="0" eb="2">
      <t>ガイヨウ</t>
    </rPh>
    <rPh sb="2" eb="4">
      <t>ジコウ</t>
    </rPh>
    <phoneticPr fontId="1"/>
  </si>
  <si>
    <t xml:space="preserve">定義や概要、業務範囲や業務機能等の仕様、外縁が明確化されており、事前に登録された製品カテゴリに属することが分かること。 </t>
    <phoneticPr fontId="1"/>
  </si>
  <si>
    <t xml:space="preserve">保有する機能が、当該製品が属する製品カテゴリにおいて設定されている、利用が想定される中小企業等における対象業種の業務領域に合致すること。また、当該業務領域において、生産工程・サービス提供の業務フローにおける課題の解決に資することにより、省力化による業務効率化や生産性向上に寄与すること。 </t>
    <phoneticPr fontId="1"/>
  </si>
  <si>
    <t xml:space="preserve">申請単位について、原則型番ごとに製品登録を行っていること。販売プランやオプションが異なる場合は、それぞれ別の製品として登録していること。 </t>
    <phoneticPr fontId="1"/>
  </si>
  <si>
    <t xml:space="preserve">単体で稼働しない又は省力化効果を発揮しない製品でないこと。単体で稼働しない又は省力化効果を発揮しない場合は、省力化効果を発揮しうるシステム等として一体として登録すること。 </t>
    <phoneticPr fontId="1"/>
  </si>
  <si>
    <t xml:space="preserve">汎用製品であり、開発等を前提としないものであること。 </t>
    <phoneticPr fontId="1"/>
  </si>
  <si>
    <t xml:space="preserve">製品性能及び
価格に関する事項 </t>
    <phoneticPr fontId="1"/>
  </si>
  <si>
    <t xml:space="preserve">当該製品が属する製品カテゴリにおいて利用が想定される中小企業等の業種及び規模ごとに設定されている省力化指標にしたがって省力化の効果を算出し、いずれか一つ以上がその効果が設定されている基準値を上回ること。 </t>
    <phoneticPr fontId="1"/>
  </si>
  <si>
    <t xml:space="preserve">製品、導入経費及び保守・サポート費用の価格と省力化による対象業務領域における人件費削減効果を勘案して、費用対効果が優れていると判断できるもの。具体的には、当該製品等を導入するための投資金額について、人件費削減効果により４年以内に回収できることが見込まれるもの。
なお、一般に耐用年数が5年以上の長期にわたる製品カテゴリについては、一般の耐用年数に0.8を乗じた年数以内に回収できることが見込まれるもの。 </t>
    <phoneticPr fontId="1"/>
  </si>
  <si>
    <t xml:space="preserve">製品性能及び
価格に関する事項 </t>
  </si>
  <si>
    <t xml:space="preserve">製品本体の価格は５０万円以上であること。また、本補助金の補助上限金額に比して著しく高額のものでないこと。 </t>
    <phoneticPr fontId="1"/>
  </si>
  <si>
    <t xml:space="preserve">販売する価格は経済的合理性があり、市場価格を逸脱していないこと。 </t>
    <phoneticPr fontId="1"/>
  </si>
  <si>
    <t xml:space="preserve">供給体制に関する事項 </t>
    <phoneticPr fontId="1"/>
  </si>
  <si>
    <t xml:space="preserve">製造事業者により以下の体制が整えられていること。
(ア) 量産体制が確保されている又は在庫が一定数確保されているなど、供給・生産体制が整備されており、中小企業等への納入が遅滞なく行える。具体的には、発注から１２ヶ月以内に納品・検品・支払いを完了して本補助金の実績報告を行える程度の納入期間に抑えられる。 
(イ) 本事業を適切に実施するために、サプライチェーンの信頼性や持続可能性確保に向けた、調達及び供給の現状把握や安定供給の体制構築等に向けた取り組みが行われている。 </t>
    <phoneticPr fontId="1"/>
  </si>
  <si>
    <t xml:space="preserve">サポート体制に関する事項 </t>
    <phoneticPr fontId="1"/>
  </si>
  <si>
    <t>製造事業者により以下の体制が整えられていること。
 (ア) 工業会等に登録申請を行う省力化製品が生産性向上、省力化に資するよう、最大限の効果を発揮するための環境・体制等の構築を行う。具体的には、日本全国に省力化製品の保守・修理・サポート体制を構築し、補助事業者が導入した省力化製品において、運用障害等が発生しないようメンテナンス及び管理を徹底すること。
 (イ) 全国にサポート体制を有していることを証明する資料を提供するとともに、耐用年数期間内に運用障害等が発生した場合は販売代理店も含め修理・サポート等の支援を提供することを宣誓すること。</t>
    <phoneticPr fontId="1"/>
  </si>
  <si>
    <t>３枚目</t>
    <rPh sb="1" eb="2">
      <t>マイ</t>
    </rPh>
    <rPh sb="2" eb="3">
      <t>メ</t>
    </rPh>
    <phoneticPr fontId="1"/>
  </si>
  <si>
    <t xml:space="preserve">製品が完成されておらず、開発が必須となると想定されるもの。 </t>
    <phoneticPr fontId="1"/>
  </si>
  <si>
    <t xml:space="preserve">ソフトウェアのみであり、それ専用の製品等を必要としないもの。 </t>
    <phoneticPr fontId="1"/>
  </si>
  <si>
    <t xml:space="preserve">恒常的に利用されないことが想定されるもの。（緊急時等の一時的利用が目的や生産性向上への貢献度が限定的なもの）  </t>
    <phoneticPr fontId="1"/>
  </si>
  <si>
    <t xml:space="preserve">製品単体で省力化を図るものではなく、他の製品等の使用と組み合わせない限り業務の効率化、省力化に資さないもの。 </t>
    <phoneticPr fontId="1"/>
  </si>
  <si>
    <t>ツ</t>
    <phoneticPr fontId="1"/>
  </si>
  <si>
    <t xml:space="preserve">製品単体で省力化を図るものではなく、付加価値向上にのみ資するもの。 </t>
    <phoneticPr fontId="1"/>
  </si>
  <si>
    <t>テ</t>
    <phoneticPr fontId="1"/>
  </si>
  <si>
    <t>本補助金の補助上限額を鑑みて著しく高価であるもの。また、取得財産管理台帳への記載が不要になる50万円未満の製品。</t>
    <phoneticPr fontId="1"/>
  </si>
  <si>
    <t>ト</t>
    <phoneticPr fontId="1"/>
  </si>
  <si>
    <t xml:space="preserve">既存の製品等の機能を拡張する又は性能を向上する目的で使用されると想定されるもの。 </t>
    <phoneticPr fontId="1"/>
  </si>
  <si>
    <t>ナ</t>
    <phoneticPr fontId="1"/>
  </si>
  <si>
    <t xml:space="preserve">製品単体でビジネスが成り立ち、人手による業務の効率化や負荷低減につながるものではないこと。 </t>
    <phoneticPr fontId="1"/>
  </si>
  <si>
    <t>ニ</t>
    <phoneticPr fontId="1"/>
  </si>
  <si>
    <t xml:space="preserve">公序良俗に反すると審査する工業会等、事務局又は中小企業庁が判断するもの。 </t>
    <phoneticPr fontId="1"/>
  </si>
  <si>
    <t>ヌ</t>
    <phoneticPr fontId="1"/>
  </si>
  <si>
    <t xml:space="preserve">その他、本事業の目的・趣旨から適切でないと審査する工業会等、事務局又は中小企業庁が判断するもの。 </t>
    <phoneticPr fontId="1"/>
  </si>
  <si>
    <t>【中小企業省力化投資補助事業】製品登録申請：納品実績報告書</t>
    <rPh sb="1" eb="3">
      <t>チュウショウ</t>
    </rPh>
    <rPh sb="3" eb="5">
      <t>キギョウ</t>
    </rPh>
    <rPh sb="5" eb="8">
      <t>ショウリョクカ</t>
    </rPh>
    <rPh sb="8" eb="10">
      <t>トウシ</t>
    </rPh>
    <rPh sb="10" eb="12">
      <t>ホジョ</t>
    </rPh>
    <rPh sb="12" eb="14">
      <t>ジギョウ</t>
    </rPh>
    <rPh sb="15" eb="17">
      <t>セイヒン</t>
    </rPh>
    <rPh sb="17" eb="19">
      <t>トウロク</t>
    </rPh>
    <rPh sb="19" eb="21">
      <t>シンセイ</t>
    </rPh>
    <rPh sb="22" eb="24">
      <t>ノウヒン</t>
    </rPh>
    <rPh sb="24" eb="26">
      <t>ジッセキ</t>
    </rPh>
    <rPh sb="26" eb="28">
      <t>ホウコク</t>
    </rPh>
    <rPh sb="28" eb="29">
      <t>ショ</t>
    </rPh>
    <phoneticPr fontId="1"/>
  </si>
  <si>
    <t>製品名</t>
    <rPh sb="0" eb="3">
      <t>セイヒンメイ</t>
    </rPh>
    <phoneticPr fontId="1"/>
  </si>
  <si>
    <t>平均納品金額</t>
    <rPh sb="0" eb="2">
      <t>ヘイキン</t>
    </rPh>
    <rPh sb="2" eb="4">
      <t>ノウヒン</t>
    </rPh>
    <rPh sb="4" eb="6">
      <t>キンガク</t>
    </rPh>
    <phoneticPr fontId="1"/>
  </si>
  <si>
    <t>納入先種別</t>
    <rPh sb="0" eb="3">
      <t>ノウニュウサキ</t>
    </rPh>
    <rPh sb="3" eb="5">
      <t>シュベツ</t>
    </rPh>
    <phoneticPr fontId="1"/>
  </si>
  <si>
    <t>納品日</t>
    <rPh sb="0" eb="3">
      <t>ノウヒンビ</t>
    </rPh>
    <phoneticPr fontId="1"/>
  </si>
  <si>
    <t>納品先事業者</t>
    <rPh sb="0" eb="2">
      <t>ノウヒン</t>
    </rPh>
    <rPh sb="2" eb="3">
      <t>サキ</t>
    </rPh>
    <rPh sb="3" eb="6">
      <t>ジギョウシャ</t>
    </rPh>
    <phoneticPr fontId="1"/>
  </si>
  <si>
    <t>納品金額(税抜）</t>
    <rPh sb="0" eb="2">
      <t>ノウヒン</t>
    </rPh>
    <rPh sb="2" eb="4">
      <t>キンガク</t>
    </rPh>
    <rPh sb="5" eb="7">
      <t>ゼイヌ</t>
    </rPh>
    <phoneticPr fontId="1"/>
  </si>
  <si>
    <t>例</t>
    <rPh sb="0" eb="1">
      <t>レイ</t>
    </rPh>
    <phoneticPr fontId="1"/>
  </si>
  <si>
    <r>
      <t>株式会社〇</t>
    </r>
    <r>
      <rPr>
        <sz val="10"/>
        <color rgb="FFFF0000"/>
        <rFont val="Segoe UI Symbol"/>
        <family val="3"/>
      </rPr>
      <t>△</t>
    </r>
    <r>
      <rPr>
        <sz val="10"/>
        <color rgb="FFFF0000"/>
        <rFont val="游ゴシック"/>
        <family val="3"/>
        <charset val="128"/>
      </rPr>
      <t>商事</t>
    </r>
    <rPh sb="0" eb="4">
      <t>カブシキガイシャ</t>
    </rPh>
    <rPh sb="6" eb="8">
      <t>ショウジ</t>
    </rPh>
    <phoneticPr fontId="1"/>
  </si>
  <si>
    <t>※法人番号検索サイト</t>
    <phoneticPr fontId="1"/>
  </si>
  <si>
    <t>https://www.houjin-bangou.nta.go.jp/</t>
    <phoneticPr fontId="1"/>
  </si>
  <si>
    <t>※単独の法人としてではなく、グループ会社全体で宣言をしている場合はそのURLを入力。</t>
    <rPh sb="1" eb="3">
      <t>タンドク</t>
    </rPh>
    <rPh sb="4" eb="6">
      <t>ホウジン</t>
    </rPh>
    <rPh sb="18" eb="20">
      <t>カイシャ</t>
    </rPh>
    <rPh sb="20" eb="22">
      <t>ゼンタイ</t>
    </rPh>
    <rPh sb="23" eb="25">
      <t>センゲン</t>
    </rPh>
    <rPh sb="30" eb="32">
      <t>バアイ</t>
    </rPh>
    <rPh sb="39" eb="41">
      <t>ニュウリョク</t>
    </rPh>
    <phoneticPr fontId="1"/>
  </si>
  <si>
    <t>パートナーシップ構築宣言を公表していない事業者の場合</t>
    <rPh sb="8" eb="10">
      <t>コウチク</t>
    </rPh>
    <rPh sb="10" eb="12">
      <t>センゲン</t>
    </rPh>
    <rPh sb="13" eb="15">
      <t>コウヒョウ</t>
    </rPh>
    <rPh sb="20" eb="23">
      <t>ジギョウシャ</t>
    </rPh>
    <rPh sb="24" eb="26">
      <t>バアイ</t>
    </rPh>
    <phoneticPr fontId="1"/>
  </si>
  <si>
    <t>今後、速やかにパートナーシップ構築宣言を実施する</t>
    <rPh sb="0" eb="2">
      <t>コンゴ</t>
    </rPh>
    <rPh sb="3" eb="4">
      <t>スミ</t>
    </rPh>
    <rPh sb="15" eb="17">
      <t>コウチク</t>
    </rPh>
    <rPh sb="17" eb="19">
      <t>センゲン</t>
    </rPh>
    <rPh sb="20" eb="22">
      <t>ジッシ</t>
    </rPh>
    <phoneticPr fontId="1"/>
  </si>
  <si>
    <t xml:space="preserve">登録申請時点において、日本国内で法人登記（法人番号が指定され国税庁が管理する法人番号公表サイトにて公表されていること）され、日本国内で事業を営む法人であること。  </t>
    <phoneticPr fontId="1"/>
  </si>
  <si>
    <t xml:space="preserve">中小機構が実施する補助事業において、「虚偽の申請」や「利害関係者への不当な利益配賦」といった不正な行為を行っていない（加担していない）こと。また、今後も不正な行為を行わない（加担しない）こと。  </t>
    <phoneticPr fontId="1"/>
  </si>
  <si>
    <t>パートナーシップ構築宣言について、登録申請時点においてポータルサイト(https://www.bizpartnership.jp/index.html）において宣言を公表している事業者であること又は速やかに宣言を実施すること。</t>
    <phoneticPr fontId="1"/>
  </si>
  <si>
    <t xml:space="preserve">中小機構及び事務局は、交付申請や実績報告時において補助事業の適正な遂行のため必要があると認めたときは、立入調査等を行うこととし、調査への協力を要請された場合は協力すること。協力しない場合登録の取消しとなることに同意すること。 </t>
    <phoneticPr fontId="1"/>
  </si>
  <si>
    <t xml:space="preserve">登録期間中、製品の生産を継続して行えると判断するに足る十分な経営基盤を有していること。  </t>
    <phoneticPr fontId="1"/>
  </si>
  <si>
    <t xml:space="preserve">登録した省力化製品のそれぞれについて、省力化製品・省力化製品製造事業者登録要領３－２．（３）（４）に規定する供給・サポートが行える体制を確保すること。受注状況の予期せぬ変動によりこれを満たすことができないと判断する場合は、体制が回復するまで事務局へ連絡を行いカタログ掲載の一時取りやめを行う等の適切な措置を講じること。 </t>
    <rPh sb="19" eb="22">
      <t>ショウリョクカ</t>
    </rPh>
    <rPh sb="22" eb="24">
      <t>セイヒン</t>
    </rPh>
    <rPh sb="25" eb="28">
      <t>ショウリョクカ</t>
    </rPh>
    <rPh sb="28" eb="30">
      <t>セイヒン</t>
    </rPh>
    <rPh sb="30" eb="32">
      <t>セイゾウ</t>
    </rPh>
    <rPh sb="32" eb="34">
      <t>ジギョウ</t>
    </rPh>
    <rPh sb="34" eb="35">
      <t>シャ</t>
    </rPh>
    <rPh sb="35" eb="37">
      <t>トウロク</t>
    </rPh>
    <rPh sb="37" eb="39">
      <t>ヨウリョウ</t>
    </rPh>
    <phoneticPr fontId="1"/>
  </si>
  <si>
    <t>登録申請に必要な情報を入力し、添付資料（省力化製品・省力化製品製造事業者登録要領「３－４ 申請書類及び留意事項」参照）を必ず提出すること。</t>
    <rPh sb="45" eb="47">
      <t>シンセイ</t>
    </rPh>
    <rPh sb="47" eb="49">
      <t>ショルイ</t>
    </rPh>
    <rPh sb="49" eb="50">
      <t>オヨ</t>
    </rPh>
    <rPh sb="51" eb="53">
      <t>リュウイ</t>
    </rPh>
    <rPh sb="53" eb="55">
      <t>ジコウ</t>
    </rPh>
    <phoneticPr fontId="1"/>
  </si>
  <si>
    <t xml:space="preserve">工業会等及び事務局に提出した情報は、事務局から国及び中小機構に報告するとともに、事務局、国及び中小機構（各機関から委託を受ける外部審査委員や業務の一部を請け負う専門業者等を含む）が以下の目的で利用することに同意すること。  (ア)本事業における審査、選考、事業管理のため
(イ)本事業実施期間中、実施後の事務連絡、資料送付、効果分析等のため  
(ウ)統計的に集計・分析し、申請者を識別・特定できない形態に加工した統計データを作成し、公表すること（交付規程に規定する事業実施効果の報告の内容は除く） 
(エ)各種事業に関するお知らせのため 
(オ)法令に基づく場合 
(カ)人の生命、身体又は財産の保護のために必要がある場合  
(キ)事務局、国及び中小機構が本事業の遂行に必要な手続き等を行うために利用する場合 </t>
    <phoneticPr fontId="1"/>
  </si>
  <si>
    <t xml:space="preserve">本事業の各種手続きにおいて登録する情報及び連絡先（補助事業者のものも含む）は、虚偽なく正確な情報を提出し、変更や修正の必要性等が生じた場合は、速やかに情報変更の手続きを行うこと。 特に、登録済の省力化製品に変更が生じた場合は、変更申請を行うこと。 </t>
    <phoneticPr fontId="1"/>
  </si>
  <si>
    <t xml:space="preserve">補助事業を遂行する上で、補助事業者（中小企業等）及びその他の事業者との間に発生する係争やトラブルについては、事務局ではその責を一切負わず、補助事業者（中小企業等）及びその他の事業者間で対応し、解決すること。  </t>
    <phoneticPr fontId="1"/>
  </si>
  <si>
    <t xml:space="preserve">登録を行った製品について、効果報告期間において、補助事業者により報告された省力化指標に基づく効果が、正当な理由無く当該製品カテゴリの省力化基準を下回っている申請が多数見られる場合は、省力化製品の登録取消や製造事業者の登録取消となる場合があることに同意すること。 </t>
    <phoneticPr fontId="1"/>
  </si>
  <si>
    <t xml:space="preserve">本事業にかかる政策評価のため、販売開始以降（５年以上前の場合は５年前から）から効果報告期間の省力化製品の製造個数・売上額、及び経営状況に関する指標（決算書記載の事項）を提出することに同意すること。 </t>
    <phoneticPr fontId="1"/>
  </si>
  <si>
    <t xml:space="preserve">今後、本登録要領に条件が追加された場合、既に登録された省力化製品についてもその条件を満たしているかを事務局にて確認し、満たしていない場合は登録取消になる場合があることに同意すること。 </t>
    <phoneticPr fontId="1"/>
  </si>
  <si>
    <t>以下、1〜8の書類について、原則、申請時に資料を添付し、チェックしてください。</t>
    <rPh sb="0" eb="2">
      <t>イカ</t>
    </rPh>
    <rPh sb="7" eb="9">
      <t>ショルイ</t>
    </rPh>
    <rPh sb="14" eb="16">
      <t>ゲンソク</t>
    </rPh>
    <rPh sb="17" eb="19">
      <t>シンセイ</t>
    </rPh>
    <rPh sb="19" eb="20">
      <t>ジ</t>
    </rPh>
    <rPh sb="21" eb="23">
      <t>シリョウ</t>
    </rPh>
    <rPh sb="24" eb="26">
      <t>テンプ</t>
    </rPh>
    <phoneticPr fontId="1"/>
  </si>
  <si>
    <t>導入スケジュール表（標準的な作業項目と工程）</t>
    <phoneticPr fontId="1"/>
  </si>
  <si>
    <t>各種マニュアル類</t>
    <rPh sb="0" eb="2">
      <t>カクシュ</t>
    </rPh>
    <rPh sb="7" eb="8">
      <t>ルイ</t>
    </rPh>
    <phoneticPr fontId="1"/>
  </si>
  <si>
    <t xml:space="preserve">契約書サンプル（パッケージ契約、保守契約など） </t>
    <phoneticPr fontId="1"/>
  </si>
  <si>
    <t>【①シート金額項目修正】
・①シート　費用単位修正　［千円］→［円］
【②シートの金額項目の修正】
・円に「(税抜)」を追加
・金額周りの注釈修正
・「希望小売価格」
　①工業会　シートから　機器費用を引っ張ってくる
　項目名＝「希望小売価格（機器購入代金）」に修正
・「製品納品価格の実績値」
　③納品実績報告書　シートから　平均納品金額を引っ張ってくる　
・「導入・設定費用」
　①工業会　シートから　設定費用を引っ張ってくる
　項目名＝「導入・設定費用（製造事業者想定値）」に修正
・「保守・サポート費用」「ランニングコスト」削除
・「②の納入先」
　③納品実績報告書　シートから　納入先種別を引っ張ってくる
・宣誓項目修正　
【納品実績報告書】
・5件チェックのエラーを追加
【④省力化製品製造事業者登録申請書】
・パートナーシップ構築宣言「今後、速やかに～」の追加
・グループ会社の取得でも認める場合の注釈を追加
【⑤カタログ掲載情報】
・保護オプションを「オブジェクトの編集」だけに修正
【⑥提出書類一覧】
・提出が必要な書類を「1～8」に修正
・No9を削除
・2ページ目4～6修正</t>
    <phoneticPr fontId="1"/>
  </si>
  <si>
    <t>Ver1.1</t>
    <phoneticPr fontId="1"/>
  </si>
  <si>
    <t>[円]</t>
    <rPh sb="1" eb="2">
      <t>エン</t>
    </rPh>
    <phoneticPr fontId="1"/>
  </si>
  <si>
    <t>［円］</t>
    <rPh sb="1" eb="2">
      <t>エン</t>
    </rPh>
    <phoneticPr fontId="1"/>
  </si>
  <si>
    <t>・審査結果シートを最新化
・【納品実績報告書】シートに注釈追加「・省力化製品として申請する本体機器のみの納品金額を入力してください。」
・【⑤カタログ掲載情報】
・保護オプションを「セルの書式の編集」追加（拡大・縮小対応）</t>
    <rPh sb="1" eb="5">
      <t>シンサケッカ</t>
    </rPh>
    <rPh sb="9" eb="11">
      <t>サイシン</t>
    </rPh>
    <rPh sb="11" eb="12">
      <t>カ</t>
    </rPh>
    <rPh sb="27" eb="29">
      <t>チュウシャク</t>
    </rPh>
    <rPh sb="29" eb="31">
      <t>ツイカ</t>
    </rPh>
    <rPh sb="75" eb="77">
      <t>ケイサイ</t>
    </rPh>
    <rPh sb="77" eb="79">
      <t>ジョウホウ</t>
    </rPh>
    <rPh sb="94" eb="96">
      <t>ショシキ</t>
    </rPh>
    <rPh sb="100" eb="102">
      <t>ツイカ</t>
    </rPh>
    <rPh sb="103" eb="105">
      <t>カクダイ</t>
    </rPh>
    <rPh sb="106" eb="108">
      <t>シュクショウ</t>
    </rPh>
    <rPh sb="108" eb="110">
      <t>タイオウ</t>
    </rPh>
    <phoneticPr fontId="1"/>
  </si>
  <si>
    <t>Ver1.2</t>
    <phoneticPr fontId="1"/>
  </si>
  <si>
    <t>上記製品は、下記の通り省力化製品・省力化製品製造事業者 登録要領３－２．(２)に記載の要件を満たしていることを確認しました。</t>
    <rPh sb="0" eb="2">
      <t>ジョウキ</t>
    </rPh>
    <rPh sb="2" eb="4">
      <t>セイヒン</t>
    </rPh>
    <rPh sb="6" eb="8">
      <t>カキ</t>
    </rPh>
    <rPh sb="9" eb="10">
      <t>トオ</t>
    </rPh>
    <rPh sb="40" eb="42">
      <t>キサイ</t>
    </rPh>
    <rPh sb="43" eb="45">
      <t>ヨウケン</t>
    </rPh>
    <rPh sb="46" eb="47">
      <t>ミ</t>
    </rPh>
    <rPh sb="55" eb="57">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</si>
</sst>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Red]\(0.00\)"/>
    <numFmt numFmtId="178" formatCode="0_ "/>
    <numFmt numFmtId="179" formatCode="0_);[Red]\(0\)"/>
    <numFmt numFmtId="180" formatCode="0.0_);[Red]\(0.0\)"/>
    <numFmt numFmtId="181" formatCode="#,##0&quot;円&quot;"/>
  </numFmts>
  <fonts count="48"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b/>
      <u/>
      <sz val="14"/>
      <color theme="1"/>
      <name val="ＭＳ Ｐゴシック"/>
      <family val="3"/>
      <charset val="128"/>
      <scheme val="minor"/>
    </font>
    <font>
      <b/>
      <u/>
      <sz val="11"/>
      <color theme="1"/>
      <name val="ＭＳ Ｐゴシック"/>
      <family val="3"/>
      <charset val="128"/>
      <scheme val="minor"/>
    </font>
    <font>
      <sz val="11"/>
      <color rgb="FFFF0000"/>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color rgb="FF000000"/>
      <name val="Meiryo UI"/>
      <family val="3"/>
    </font>
    <font>
      <sz val="11"/>
      <color rgb="FFC00000"/>
      <name val="Meiryo UI"/>
      <family val="3"/>
    </font>
    <font>
      <sz val="11"/>
      <color theme="1"/>
      <name val="ＭＳ Ｐゴシック"/>
      <family val="2"/>
      <charset val="128"/>
      <scheme val="minor"/>
    </font>
    <font>
      <sz val="11"/>
      <color rgb="FFFFFF00"/>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b/>
      <sz val="14"/>
      <color theme="1"/>
      <name val="ＭＳ ゴシック"/>
      <family val="3"/>
      <charset val="128"/>
    </font>
    <font>
      <sz val="10"/>
      <color theme="1"/>
      <name val="ＭＳ ゴシック"/>
      <family val="3"/>
      <charset val="128"/>
    </font>
    <font>
      <b/>
      <sz val="9"/>
      <color rgb="FFFF0000"/>
      <name val="ＭＳ ゴシック"/>
      <family val="3"/>
      <charset val="128"/>
    </font>
    <font>
      <sz val="10"/>
      <color theme="0" tint="-0.499984740745262"/>
      <name val="ＭＳ ゴシック"/>
      <family val="3"/>
      <charset val="128"/>
    </font>
    <font>
      <sz val="10"/>
      <color rgb="FFFF0000"/>
      <name val="ＭＳ ゴシック"/>
      <family val="3"/>
      <charset val="128"/>
    </font>
    <font>
      <sz val="10"/>
      <name val="ＭＳ ゴシック"/>
      <family val="3"/>
      <charset val="128"/>
    </font>
    <font>
      <sz val="10"/>
      <color rgb="FFFFFF00"/>
      <name val="ＭＳ ゴシック"/>
      <family val="3"/>
      <charset val="128"/>
    </font>
    <font>
      <sz val="6"/>
      <color theme="1"/>
      <name val="ＭＳ ゴシック"/>
      <family val="3"/>
      <charset val="128"/>
    </font>
    <font>
      <sz val="6"/>
      <name val="ＭＳ ゴシック"/>
      <family val="3"/>
      <charset val="128"/>
    </font>
    <font>
      <b/>
      <sz val="10"/>
      <name val="ＭＳ ゴシック"/>
      <family val="3"/>
      <charset val="128"/>
    </font>
    <font>
      <sz val="14"/>
      <color theme="1"/>
      <name val="ＭＳ ゴシック"/>
      <family val="3"/>
      <charset val="128"/>
    </font>
    <font>
      <sz val="8"/>
      <name val="ＭＳ ゴシック"/>
      <family val="3"/>
      <charset val="128"/>
    </font>
    <font>
      <sz val="9"/>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b/>
      <sz val="11"/>
      <color rgb="FFFF0000"/>
      <name val="ＭＳ Ｐゴシック"/>
      <family val="3"/>
      <charset val="128"/>
      <scheme val="minor"/>
    </font>
    <font>
      <b/>
      <sz val="10"/>
      <color theme="0"/>
      <name val="ＭＳ ゴシック"/>
      <family val="3"/>
      <charset val="128"/>
    </font>
    <font>
      <u/>
      <sz val="11"/>
      <color theme="10"/>
      <name val="ＭＳ Ｐゴシック"/>
      <family val="2"/>
      <charset val="128"/>
      <scheme val="minor"/>
    </font>
    <font>
      <sz val="9"/>
      <name val="ＭＳ ゴシック"/>
      <family val="3"/>
      <charset val="128"/>
    </font>
    <font>
      <b/>
      <sz val="12"/>
      <color theme="1"/>
      <name val="ＭＳ Ｐゴシック"/>
      <family val="3"/>
      <charset val="128"/>
      <scheme val="minor"/>
    </font>
    <font>
      <sz val="12"/>
      <color theme="1"/>
      <name val="ＭＳ Ｐゴシック"/>
      <family val="2"/>
      <charset val="128"/>
      <scheme val="minor"/>
    </font>
    <font>
      <b/>
      <sz val="10"/>
      <color theme="1"/>
      <name val="ＭＳ Ｐゴシック"/>
      <family val="3"/>
      <charset val="128"/>
      <scheme val="minor"/>
    </font>
    <font>
      <b/>
      <sz val="14"/>
      <color theme="1"/>
      <name val="ＭＳ Ｐゴシック"/>
      <family val="3"/>
      <charset val="128"/>
      <scheme val="minor"/>
    </font>
    <font>
      <b/>
      <sz val="10"/>
      <color rgb="FFFF0000"/>
      <name val="ＭＳ Ｐゴシック"/>
      <family val="3"/>
      <charset val="128"/>
      <scheme val="minor"/>
    </font>
    <font>
      <sz val="10"/>
      <color theme="0" tint="-0.499984740745262"/>
      <name val="ＭＳ Ｐゴシック"/>
      <family val="2"/>
      <charset val="128"/>
      <scheme val="minor"/>
    </font>
    <font>
      <b/>
      <sz val="1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0"/>
      <color rgb="FFFF0000"/>
      <name val="Segoe UI Symbol"/>
      <family val="3"/>
    </font>
    <font>
      <sz val="10"/>
      <color rgb="FFFF0000"/>
      <name val="游ゴシック"/>
      <family val="3"/>
      <charset val="128"/>
    </font>
    <font>
      <sz val="10"/>
      <color rgb="FFFFFF00"/>
      <name val="ＭＳ Ｐゴシック"/>
      <family val="2"/>
      <charset val="128"/>
      <scheme val="minor"/>
    </font>
  </fonts>
  <fills count="1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CE4D6"/>
        <bgColor indexed="64"/>
      </patternFill>
    </fill>
    <fill>
      <patternFill patternType="solid">
        <fgColor rgb="FFEDEDED"/>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9"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34" fillId="0" borderId="0" applyNumberFormat="0" applyFill="0" applyBorder="0" applyAlignment="0" applyProtection="0">
      <alignment vertical="center"/>
    </xf>
  </cellStyleXfs>
  <cellXfs count="564">
    <xf numFmtId="0" fontId="0" fillId="0" borderId="0" xfId="0">
      <alignment vertical="center"/>
    </xf>
    <xf numFmtId="0" fontId="4" fillId="0" borderId="0" xfId="0" applyFont="1">
      <alignment vertical="center"/>
    </xf>
    <xf numFmtId="0" fontId="0" fillId="2" borderId="0" xfId="0" applyFill="1">
      <alignment vertical="center"/>
    </xf>
    <xf numFmtId="0" fontId="0" fillId="3" borderId="0" xfId="0" applyFill="1">
      <alignment vertical="center"/>
    </xf>
    <xf numFmtId="0" fontId="0" fillId="0" borderId="4" xfId="0" applyBorder="1">
      <alignment vertical="center"/>
    </xf>
    <xf numFmtId="0" fontId="0" fillId="0" borderId="0" xfId="0" applyAlignment="1">
      <alignment horizontal="center" vertical="center"/>
    </xf>
    <xf numFmtId="0" fontId="0" fillId="3" borderId="0" xfId="0" applyFill="1" applyAlignment="1">
      <alignment horizontal="center" vertical="center"/>
    </xf>
    <xf numFmtId="177" fontId="0" fillId="3" borderId="0" xfId="0" applyNumberFormat="1" applyFill="1" applyAlignment="1">
      <alignment horizontal="center" vertical="center"/>
    </xf>
    <xf numFmtId="0" fontId="0" fillId="0" borderId="4" xfId="0" applyBorder="1" applyAlignment="1">
      <alignment horizontal="center" vertical="center"/>
    </xf>
    <xf numFmtId="177"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4" fillId="0" borderId="0" xfId="0" applyFont="1" applyAlignment="1">
      <alignment horizontal="right" vertical="center"/>
    </xf>
    <xf numFmtId="0" fontId="6" fillId="0" borderId="0" xfId="0" applyFont="1">
      <alignment vertical="center"/>
    </xf>
    <xf numFmtId="177" fontId="0" fillId="0" borderId="0" xfId="0" applyNumberFormat="1" applyAlignment="1">
      <alignment horizontal="center" vertical="center"/>
    </xf>
    <xf numFmtId="0" fontId="2" fillId="0" borderId="0" xfId="0" applyFont="1">
      <alignment vertical="center"/>
    </xf>
    <xf numFmtId="176" fontId="0" fillId="4" borderId="0" xfId="0" applyNumberFormat="1" applyFill="1" applyAlignment="1">
      <alignment horizontal="center" vertical="center"/>
    </xf>
    <xf numFmtId="0" fontId="0" fillId="0" borderId="0" xfId="0" applyAlignment="1">
      <alignment horizontal="lef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6" xfId="0" applyBorder="1" applyAlignment="1">
      <alignment horizontal="center" vertical="center"/>
    </xf>
    <xf numFmtId="179" fontId="0" fillId="4" borderId="0" xfId="0" applyNumberFormat="1" applyFill="1" applyAlignment="1">
      <alignment horizontal="center" vertical="center"/>
    </xf>
    <xf numFmtId="179" fontId="0" fillId="0" borderId="0" xfId="0" applyNumberFormat="1" applyAlignment="1">
      <alignment horizontal="center" vertical="center"/>
    </xf>
    <xf numFmtId="178" fontId="0" fillId="4" borderId="0" xfId="0" applyNumberFormat="1" applyFill="1" applyAlignment="1">
      <alignment horizontal="center" vertical="center"/>
    </xf>
    <xf numFmtId="0" fontId="5" fillId="0" borderId="6" xfId="0" applyFont="1" applyBorder="1">
      <alignment vertical="center"/>
    </xf>
    <xf numFmtId="0" fontId="7" fillId="0" borderId="4" xfId="0" applyFont="1" applyBorder="1">
      <alignment vertical="center"/>
    </xf>
    <xf numFmtId="0" fontId="0" fillId="4" borderId="0" xfId="0" applyFill="1">
      <alignment vertical="center"/>
    </xf>
    <xf numFmtId="0" fontId="0" fillId="4" borderId="13" xfId="0" applyFill="1" applyBorder="1">
      <alignment vertical="center"/>
    </xf>
    <xf numFmtId="177" fontId="0" fillId="4" borderId="13" xfId="0" applyNumberFormat="1" applyFill="1" applyBorder="1" applyAlignment="1">
      <alignment horizontal="center" vertical="center"/>
    </xf>
    <xf numFmtId="0" fontId="3" fillId="0" borderId="0" xfId="0" applyFont="1">
      <alignment vertical="center"/>
    </xf>
    <xf numFmtId="0" fontId="8" fillId="0" borderId="0" xfId="0" applyFont="1" applyAlignment="1">
      <alignment horizontal="center" vertical="center"/>
    </xf>
    <xf numFmtId="0" fontId="8" fillId="0" borderId="0" xfId="0" applyFont="1">
      <alignment vertical="center"/>
    </xf>
    <xf numFmtId="180" fontId="0" fillId="0" borderId="4" xfId="0" applyNumberFormat="1" applyBorder="1" applyAlignment="1">
      <alignment horizontal="center" vertical="center"/>
    </xf>
    <xf numFmtId="0" fontId="4" fillId="0" borderId="1" xfId="0" applyFont="1" applyBorder="1" applyAlignment="1">
      <alignment horizontal="left" vertical="center"/>
    </xf>
    <xf numFmtId="0" fontId="7" fillId="0" borderId="0" xfId="0" applyFont="1">
      <alignment vertical="center"/>
    </xf>
    <xf numFmtId="178" fontId="0" fillId="0" borderId="0" xfId="0" applyNumberFormat="1" applyAlignment="1">
      <alignment horizontal="center" vertical="center"/>
    </xf>
    <xf numFmtId="0" fontId="0" fillId="4" borderId="13" xfId="0" applyFill="1" applyBorder="1" applyAlignment="1">
      <alignment horizontal="center" vertical="center"/>
    </xf>
    <xf numFmtId="0" fontId="0" fillId="2" borderId="0" xfId="0" applyFill="1" applyAlignment="1">
      <alignment horizontal="left" vertical="center"/>
    </xf>
    <xf numFmtId="0" fontId="0" fillId="6" borderId="18" xfId="0" applyFill="1" applyBorder="1">
      <alignment vertical="center"/>
    </xf>
    <xf numFmtId="0" fontId="0" fillId="6" borderId="15" xfId="0" applyFill="1" applyBorder="1">
      <alignment vertical="center"/>
    </xf>
    <xf numFmtId="0" fontId="0" fillId="6" borderId="20" xfId="0" applyFill="1" applyBorder="1">
      <alignment vertical="center"/>
    </xf>
    <xf numFmtId="0" fontId="0" fillId="6" borderId="22" xfId="0" applyFill="1" applyBorder="1">
      <alignment vertical="center"/>
    </xf>
    <xf numFmtId="0" fontId="0" fillId="6" borderId="17" xfId="0" applyFill="1" applyBorder="1" applyAlignment="1">
      <alignment horizontal="right" vertical="center"/>
    </xf>
    <xf numFmtId="0" fontId="0" fillId="6" borderId="19" xfId="0" applyFill="1" applyBorder="1" applyAlignment="1">
      <alignment horizontal="right" vertical="center"/>
    </xf>
    <xf numFmtId="0" fontId="0" fillId="6" borderId="21" xfId="0" applyFill="1" applyBorder="1" applyAlignment="1">
      <alignment horizontal="right" vertical="center"/>
    </xf>
    <xf numFmtId="0" fontId="0" fillId="6" borderId="14" xfId="0" applyFill="1" applyBorder="1" applyAlignment="1">
      <alignment horizontal="center" vertical="center"/>
    </xf>
    <xf numFmtId="0" fontId="0" fillId="6" borderId="16" xfId="0" applyFill="1" applyBorder="1" applyAlignment="1">
      <alignment vertical="center" wrapText="1"/>
    </xf>
    <xf numFmtId="0" fontId="0" fillId="6" borderId="15" xfId="0" applyFill="1" applyBorder="1" applyAlignment="1">
      <alignment vertical="center" wrapText="1"/>
    </xf>
    <xf numFmtId="1" fontId="0" fillId="4" borderId="0" xfId="0" applyNumberFormat="1" applyFill="1" applyAlignment="1">
      <alignment horizontal="center" vertical="center"/>
    </xf>
    <xf numFmtId="1" fontId="0" fillId="3" borderId="0" xfId="0" applyNumberFormat="1" applyFill="1" applyAlignment="1">
      <alignment horizontal="center" vertical="center"/>
    </xf>
    <xf numFmtId="1" fontId="0" fillId="3" borderId="4" xfId="0" applyNumberFormat="1" applyFill="1" applyBorder="1" applyAlignment="1">
      <alignment horizontal="center" vertical="center"/>
    </xf>
    <xf numFmtId="0" fontId="0" fillId="5" borderId="23" xfId="0" applyFill="1" applyBorder="1" applyAlignment="1">
      <alignment horizontal="center" vertical="center"/>
    </xf>
    <xf numFmtId="176" fontId="0" fillId="0" borderId="0" xfId="0" applyNumberFormat="1" applyAlignment="1">
      <alignment horizontal="center" vertical="center"/>
    </xf>
    <xf numFmtId="177" fontId="10" fillId="4" borderId="13" xfId="0" applyNumberFormat="1" applyFont="1" applyFill="1" applyBorder="1" applyAlignment="1">
      <alignment horizontal="center" vertical="center"/>
    </xf>
    <xf numFmtId="0" fontId="0" fillId="6" borderId="24" xfId="0" applyFill="1" applyBorder="1" applyAlignment="1">
      <alignment horizontal="right" vertical="center"/>
    </xf>
    <xf numFmtId="0" fontId="0" fillId="6" borderId="25" xfId="0" applyFill="1" applyBorder="1">
      <alignment vertical="center"/>
    </xf>
    <xf numFmtId="0" fontId="0" fillId="6" borderId="26" xfId="0" applyFill="1" applyBorder="1" applyAlignment="1">
      <alignment vertical="center" wrapText="1"/>
    </xf>
    <xf numFmtId="0" fontId="0" fillId="5" borderId="27" xfId="0" applyFill="1" applyBorder="1" applyAlignment="1">
      <alignment horizontal="center" vertical="center"/>
    </xf>
    <xf numFmtId="177" fontId="0" fillId="4" borderId="4" xfId="0" applyNumberFormat="1" applyFill="1" applyBorder="1" applyAlignment="1">
      <alignment horizontal="center" vertical="center"/>
    </xf>
    <xf numFmtId="0" fontId="11" fillId="0" borderId="0" xfId="0" applyFont="1">
      <alignment vertical="center"/>
    </xf>
    <xf numFmtId="0" fontId="12" fillId="0" borderId="0" xfId="0" applyFont="1">
      <alignment vertical="center"/>
    </xf>
    <xf numFmtId="177" fontId="0" fillId="4" borderId="0" xfId="0" applyNumberFormat="1" applyFill="1" applyAlignment="1">
      <alignment horizontal="center" vertical="center"/>
    </xf>
    <xf numFmtId="0" fontId="0" fillId="5" borderId="6" xfId="0" applyFill="1" applyBorder="1" applyAlignment="1">
      <alignment horizontal="center" vertical="center"/>
    </xf>
    <xf numFmtId="0" fontId="0" fillId="5" borderId="11" xfId="0" applyFill="1" applyBorder="1" applyAlignment="1">
      <alignment horizontal="center" vertical="center"/>
    </xf>
    <xf numFmtId="0" fontId="0" fillId="5" borderId="1" xfId="0" applyFill="1" applyBorder="1" applyAlignment="1">
      <alignment horizontal="center" vertical="center"/>
    </xf>
    <xf numFmtId="1" fontId="0" fillId="6" borderId="19" xfId="0" applyNumberFormat="1" applyFill="1" applyBorder="1" applyAlignment="1">
      <alignment horizontal="right" vertical="center"/>
    </xf>
    <xf numFmtId="0" fontId="0" fillId="6" borderId="28" xfId="0" applyFill="1" applyBorder="1">
      <alignment vertical="center"/>
    </xf>
    <xf numFmtId="1" fontId="0" fillId="6" borderId="24" xfId="0" applyNumberFormat="1" applyFill="1" applyBorder="1" applyAlignment="1">
      <alignment horizontal="right" vertical="center"/>
    </xf>
    <xf numFmtId="2" fontId="0" fillId="3" borderId="0" xfId="0" applyNumberFormat="1" applyFill="1" applyAlignment="1">
      <alignment horizontal="center" vertical="center"/>
    </xf>
    <xf numFmtId="179" fontId="0" fillId="6" borderId="19" xfId="0" applyNumberFormat="1" applyFill="1" applyBorder="1" applyAlignment="1">
      <alignment horizontal="right" vertical="center"/>
    </xf>
    <xf numFmtId="179" fontId="0" fillId="6" borderId="24" xfId="0" applyNumberFormat="1" applyFill="1" applyBorder="1" applyAlignment="1">
      <alignment horizontal="right" vertical="center"/>
    </xf>
    <xf numFmtId="2" fontId="0" fillId="4" borderId="0" xfId="0" applyNumberFormat="1" applyFill="1" applyAlignment="1">
      <alignment horizontal="center" vertical="center"/>
    </xf>
    <xf numFmtId="2" fontId="0" fillId="4" borderId="4" xfId="0" applyNumberFormat="1" applyFill="1" applyBorder="1" applyAlignment="1">
      <alignment horizontal="center" vertical="center"/>
    </xf>
    <xf numFmtId="0" fontId="0" fillId="4" borderId="4" xfId="0" applyFill="1" applyBorder="1" applyAlignment="1">
      <alignment horizontal="center" vertical="center"/>
    </xf>
    <xf numFmtId="0" fontId="0" fillId="7" borderId="4" xfId="0" applyFill="1" applyBorder="1" applyAlignment="1">
      <alignment horizontal="center" vertical="center"/>
    </xf>
    <xf numFmtId="2" fontId="0" fillId="3" borderId="4" xfId="0" applyNumberFormat="1" applyFill="1" applyBorder="1" applyAlignment="1">
      <alignment horizontal="center" vertical="center"/>
    </xf>
    <xf numFmtId="0" fontId="0" fillId="6" borderId="29" xfId="0" applyFill="1" applyBorder="1" applyAlignment="1">
      <alignment horizontal="right" vertical="center"/>
    </xf>
    <xf numFmtId="0" fontId="0" fillId="6" borderId="30" xfId="0" applyFill="1" applyBorder="1">
      <alignment vertical="center"/>
    </xf>
    <xf numFmtId="0" fontId="0" fillId="6" borderId="31" xfId="0" applyFill="1" applyBorder="1">
      <alignment vertical="center"/>
    </xf>
    <xf numFmtId="0" fontId="0" fillId="6" borderId="31" xfId="0" applyFill="1" applyBorder="1" applyAlignment="1">
      <alignment vertical="center" wrapText="1"/>
    </xf>
    <xf numFmtId="0" fontId="0" fillId="8" borderId="4" xfId="0" applyFill="1" applyBorder="1" applyAlignment="1">
      <alignment horizontal="center" vertical="center"/>
    </xf>
    <xf numFmtId="179" fontId="0" fillId="6" borderId="29" xfId="0" applyNumberFormat="1" applyFill="1" applyBorder="1" applyAlignment="1">
      <alignment horizontal="right" vertical="center"/>
    </xf>
    <xf numFmtId="179" fontId="0" fillId="4" borderId="4" xfId="0" applyNumberFormat="1" applyFill="1" applyBorder="1" applyAlignment="1">
      <alignment horizontal="center" vertical="center"/>
    </xf>
    <xf numFmtId="179" fontId="0" fillId="3" borderId="4" xfId="0" applyNumberFormat="1" applyFill="1" applyBorder="1" applyAlignment="1">
      <alignment horizontal="center" vertical="center"/>
    </xf>
    <xf numFmtId="2" fontId="0" fillId="0" borderId="0" xfId="0" applyNumberFormat="1" applyAlignment="1">
      <alignment horizontal="center" vertical="center"/>
    </xf>
    <xf numFmtId="1" fontId="0" fillId="0" borderId="0" xfId="0" applyNumberFormat="1" applyAlignment="1">
      <alignment horizontal="center" vertical="center"/>
    </xf>
    <xf numFmtId="0" fontId="0" fillId="0" borderId="0" xfId="0" applyAlignment="1">
      <alignment horizontal="center" vertical="center"/>
    </xf>
    <xf numFmtId="0" fontId="0" fillId="0" borderId="0" xfId="0" applyProtection="1">
      <alignment vertical="center"/>
      <protection locked="0"/>
    </xf>
    <xf numFmtId="0" fontId="0" fillId="5" borderId="1" xfId="0" applyFill="1" applyBorder="1">
      <alignment vertical="center"/>
    </xf>
    <xf numFmtId="0" fontId="0" fillId="5" borderId="5" xfId="0" applyFill="1" applyBorder="1">
      <alignment vertical="center"/>
    </xf>
    <xf numFmtId="0" fontId="0" fillId="0" borderId="12" xfId="0" applyBorder="1">
      <alignment vertical="center"/>
    </xf>
    <xf numFmtId="0" fontId="14" fillId="0" borderId="0" xfId="0" applyFont="1">
      <alignment vertical="center"/>
    </xf>
    <xf numFmtId="0" fontId="15" fillId="0" borderId="0" xfId="0" applyFont="1" applyProtection="1">
      <alignment vertical="center"/>
      <protection locked="0"/>
    </xf>
    <xf numFmtId="0" fontId="0" fillId="2" borderId="40" xfId="0" applyFill="1" applyBorder="1" applyAlignment="1">
      <alignment horizontal="left" vertical="center"/>
    </xf>
    <xf numFmtId="0" fontId="0" fillId="5" borderId="41" xfId="0" applyFill="1" applyBorder="1" applyAlignment="1">
      <alignment horizontal="left" vertical="center"/>
    </xf>
    <xf numFmtId="0" fontId="0" fillId="2" borderId="41" xfId="0" applyFill="1" applyBorder="1" applyAlignment="1">
      <alignment horizontal="left" vertical="center"/>
    </xf>
    <xf numFmtId="0" fontId="0" fillId="2" borderId="44" xfId="0" applyFill="1" applyBorder="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2" borderId="47" xfId="0" applyFill="1" applyBorder="1" applyAlignment="1">
      <alignment horizontal="left" vertical="center"/>
    </xf>
    <xf numFmtId="0" fontId="0" fillId="5" borderId="48" xfId="0" applyFill="1" applyBorder="1" applyAlignment="1">
      <alignment horizontal="left" vertical="center"/>
    </xf>
    <xf numFmtId="0" fontId="0" fillId="2" borderId="48" xfId="0" applyFill="1" applyBorder="1" applyAlignment="1">
      <alignment horizontal="left" vertical="center"/>
    </xf>
    <xf numFmtId="0" fontId="0" fillId="0" borderId="3" xfId="0" applyBorder="1" applyAlignment="1">
      <alignment horizontal="left" vertical="center"/>
    </xf>
    <xf numFmtId="179" fontId="0" fillId="0" borderId="0" xfId="0" applyNumberFormat="1" applyAlignment="1">
      <alignment horizontal="right" vertical="center"/>
    </xf>
    <xf numFmtId="0" fontId="0" fillId="0" borderId="6" xfId="0" applyBorder="1" applyAlignment="1">
      <alignment horizontal="left" vertical="center"/>
    </xf>
    <xf numFmtId="0" fontId="0" fillId="0" borderId="5" xfId="0" applyBorder="1" applyProtection="1">
      <alignment vertical="center"/>
      <protection locked="0"/>
    </xf>
    <xf numFmtId="0" fontId="5" fillId="0" borderId="6" xfId="0" applyFont="1" applyBorder="1" applyProtection="1">
      <alignment vertical="center"/>
      <protection locked="0"/>
    </xf>
    <xf numFmtId="0" fontId="0" fillId="0" borderId="6" xfId="0" applyBorder="1" applyProtection="1">
      <alignment vertical="center"/>
      <protection locked="0"/>
    </xf>
    <xf numFmtId="0" fontId="0" fillId="0" borderId="6" xfId="0" applyBorder="1" applyAlignment="1" applyProtection="1">
      <alignment horizontal="center"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0" xfId="0" applyAlignment="1" applyProtection="1">
      <alignment horizontal="center" vertical="center"/>
      <protection locked="0"/>
    </xf>
    <xf numFmtId="0" fontId="0" fillId="0" borderId="9" xfId="0" applyBorder="1" applyProtection="1">
      <alignment vertical="center"/>
      <protection locked="0"/>
    </xf>
    <xf numFmtId="180" fontId="0" fillId="0" borderId="0" xfId="0" applyNumberFormat="1" applyAlignment="1" applyProtection="1">
      <alignment horizontal="center" vertical="center"/>
      <protection locked="0"/>
    </xf>
    <xf numFmtId="0" fontId="0" fillId="0" borderId="10" xfId="0" applyBorder="1" applyProtection="1">
      <alignment vertical="center"/>
      <protection locked="0"/>
    </xf>
    <xf numFmtId="0" fontId="0" fillId="0" borderId="4" xfId="0" applyBorder="1" applyProtection="1">
      <alignment vertical="center"/>
      <protection locked="0"/>
    </xf>
    <xf numFmtId="180"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1" xfId="0" applyBorder="1" applyProtection="1">
      <alignment vertical="center"/>
      <protection locked="0"/>
    </xf>
    <xf numFmtId="0" fontId="18" fillId="0" borderId="0" xfId="0" applyFont="1">
      <alignment vertical="center"/>
    </xf>
    <xf numFmtId="0" fontId="20" fillId="0" borderId="0" xfId="0" applyFont="1" applyAlignment="1">
      <alignment horizontal="left" vertical="center"/>
    </xf>
    <xf numFmtId="0" fontId="18" fillId="6" borderId="0" xfId="0" applyFont="1" applyFill="1">
      <alignment vertical="center"/>
    </xf>
    <xf numFmtId="0" fontId="23" fillId="0" borderId="0" xfId="0" applyFont="1" applyAlignment="1">
      <alignment horizontal="left" vertical="center"/>
    </xf>
    <xf numFmtId="0" fontId="21" fillId="0" borderId="0" xfId="0" applyFont="1">
      <alignment vertical="center"/>
    </xf>
    <xf numFmtId="0" fontId="23" fillId="0" borderId="0" xfId="0" applyFont="1">
      <alignment vertical="center"/>
    </xf>
    <xf numFmtId="0" fontId="18" fillId="6" borderId="0" xfId="0" applyFont="1" applyFill="1" applyAlignment="1">
      <alignment vertical="center" wrapText="1"/>
    </xf>
    <xf numFmtId="0" fontId="18" fillId="0" borderId="0" xfId="0" applyFont="1" applyProtection="1">
      <alignment vertical="center"/>
      <protection locked="0"/>
    </xf>
    <xf numFmtId="0" fontId="22" fillId="6" borderId="0" xfId="0" applyFont="1" applyFill="1">
      <alignment vertical="center"/>
    </xf>
    <xf numFmtId="0" fontId="18" fillId="6" borderId="0" xfId="0" applyFont="1" applyFill="1" applyProtection="1">
      <alignment vertical="center"/>
      <protection locked="0"/>
    </xf>
    <xf numFmtId="0" fontId="23" fillId="6" borderId="0" xfId="0" applyFont="1" applyFill="1">
      <alignment vertical="center"/>
    </xf>
    <xf numFmtId="0" fontId="0" fillId="5" borderId="1" xfId="0" applyFill="1" applyBorder="1" applyProtection="1">
      <alignment vertical="center"/>
      <protection locked="0"/>
    </xf>
    <xf numFmtId="0" fontId="0" fillId="0" borderId="1" xfId="0" applyBorder="1" applyProtection="1">
      <alignment vertical="center"/>
      <protection locked="0"/>
    </xf>
    <xf numFmtId="14" fontId="0" fillId="0" borderId="1" xfId="0" applyNumberFormat="1" applyBorder="1" applyProtection="1">
      <alignment vertical="center"/>
      <protection locked="0"/>
    </xf>
    <xf numFmtId="0" fontId="0" fillId="0" borderId="1" xfId="0" applyBorder="1" applyAlignment="1" applyProtection="1">
      <alignment vertical="center" wrapText="1"/>
      <protection locked="0"/>
    </xf>
    <xf numFmtId="0" fontId="0" fillId="0" borderId="0" xfId="0" applyBorder="1" applyAlignment="1">
      <alignment horizontal="left" vertical="center"/>
    </xf>
    <xf numFmtId="0" fontId="0" fillId="0" borderId="44" xfId="0" applyBorder="1" applyAlignment="1">
      <alignment horizontal="left" vertical="center"/>
    </xf>
    <xf numFmtId="0" fontId="9" fillId="0" borderId="0" xfId="0" applyFont="1" applyAlignment="1">
      <alignment horizontal="left" vertical="center"/>
    </xf>
    <xf numFmtId="0" fontId="15" fillId="0" borderId="5" xfId="0" applyFont="1" applyBorder="1" applyProtection="1">
      <alignment vertical="center"/>
      <protection locked="0"/>
    </xf>
    <xf numFmtId="0" fontId="15" fillId="0" borderId="6" xfId="0" applyFont="1" applyBorder="1" applyProtection="1">
      <alignment vertical="center"/>
      <protection locked="0"/>
    </xf>
    <xf numFmtId="0" fontId="15" fillId="0" borderId="7" xfId="0" applyFont="1" applyBorder="1" applyProtection="1">
      <alignment vertical="center"/>
      <protection locked="0"/>
    </xf>
    <xf numFmtId="0" fontId="15" fillId="0" borderId="8" xfId="0" applyFont="1" applyBorder="1" applyProtection="1">
      <alignment vertical="center"/>
      <protection locked="0"/>
    </xf>
    <xf numFmtId="0" fontId="15" fillId="0" borderId="0" xfId="0" applyFont="1" applyBorder="1" applyProtection="1">
      <alignment vertical="center"/>
      <protection locked="0"/>
    </xf>
    <xf numFmtId="0" fontId="15" fillId="0" borderId="9" xfId="0" applyFont="1" applyBorder="1" applyProtection="1">
      <alignment vertical="center"/>
      <protection locked="0"/>
    </xf>
    <xf numFmtId="0" fontId="15" fillId="0" borderId="10" xfId="0" applyFont="1" applyBorder="1" applyProtection="1">
      <alignment vertical="center"/>
      <protection locked="0"/>
    </xf>
    <xf numFmtId="0" fontId="15" fillId="0" borderId="4" xfId="0" applyFont="1" applyBorder="1" applyProtection="1">
      <alignment vertical="center"/>
      <protection locked="0"/>
    </xf>
    <xf numFmtId="0" fontId="15" fillId="0" borderId="11" xfId="0" applyFont="1" applyBorder="1" applyProtection="1">
      <alignment vertical="center"/>
      <protection locked="0"/>
    </xf>
    <xf numFmtId="0" fontId="0" fillId="0" borderId="48" xfId="0" applyFill="1" applyBorder="1" applyAlignment="1">
      <alignment horizontal="left" vertical="center"/>
    </xf>
    <xf numFmtId="0" fontId="0" fillId="0" borderId="0" xfId="0" applyFill="1" applyAlignment="1">
      <alignment horizontal="left" vertical="center"/>
    </xf>
    <xf numFmtId="0" fontId="0" fillId="5" borderId="2" xfId="0" applyFill="1" applyBorder="1" applyProtection="1">
      <alignment vertical="center"/>
      <protection locked="0"/>
    </xf>
    <xf numFmtId="0" fontId="4" fillId="6" borderId="0" xfId="0" applyFont="1" applyFill="1" applyBorder="1" applyAlignment="1">
      <alignment horizontal="left" vertical="center"/>
    </xf>
    <xf numFmtId="0" fontId="4" fillId="6" borderId="4" xfId="0" applyFont="1" applyFill="1" applyBorder="1" applyAlignment="1">
      <alignment horizontal="left" vertical="center"/>
    </xf>
    <xf numFmtId="0" fontId="0" fillId="0" borderId="1" xfId="0" applyBorder="1" applyAlignment="1" applyProtection="1">
      <alignment vertical="center" shrinkToFit="1"/>
      <protection locked="0"/>
    </xf>
    <xf numFmtId="0" fontId="0" fillId="5" borderId="3" xfId="0" applyFill="1" applyBorder="1" applyProtection="1">
      <alignment vertical="center"/>
      <protection locked="0"/>
    </xf>
    <xf numFmtId="49" fontId="0" fillId="2" borderId="1" xfId="0" quotePrefix="1" applyNumberFormat="1" applyFill="1" applyBorder="1" applyProtection="1">
      <alignment vertical="center"/>
      <protection locked="0"/>
    </xf>
    <xf numFmtId="0" fontId="0" fillId="5" borderId="1" xfId="0" applyFill="1" applyBorder="1" applyAlignment="1" applyProtection="1">
      <alignment horizontal="center" vertical="center"/>
      <protection locked="0"/>
    </xf>
    <xf numFmtId="0" fontId="0" fillId="5" borderId="68" xfId="0" applyFill="1" applyBorder="1" applyProtection="1">
      <alignment vertical="center"/>
      <protection locked="0"/>
    </xf>
    <xf numFmtId="0" fontId="0" fillId="5" borderId="69" xfId="0" applyFill="1" applyBorder="1" applyProtection="1">
      <alignment vertical="center"/>
      <protection locked="0"/>
    </xf>
    <xf numFmtId="0" fontId="0" fillId="5" borderId="69" xfId="0" applyFill="1" applyBorder="1" applyAlignment="1" applyProtection="1">
      <alignment horizontal="center" vertical="center"/>
      <protection locked="0"/>
    </xf>
    <xf numFmtId="0" fontId="34" fillId="0" borderId="14" xfId="3" applyBorder="1" applyAlignment="1" applyProtection="1">
      <alignment horizontal="center" vertical="center"/>
      <protection locked="0"/>
    </xf>
    <xf numFmtId="0" fontId="0" fillId="0" borderId="70" xfId="0" applyBorder="1" applyProtection="1">
      <alignment vertical="center"/>
      <protection locked="0"/>
    </xf>
    <xf numFmtId="0" fontId="0" fillId="0" borderId="71" xfId="0" applyBorder="1" applyProtection="1">
      <alignment vertical="center"/>
      <protection locked="0"/>
    </xf>
    <xf numFmtId="2" fontId="0" fillId="0" borderId="70" xfId="0" applyNumberFormat="1" applyBorder="1" applyProtection="1">
      <alignment vertical="center"/>
      <protection locked="0"/>
    </xf>
    <xf numFmtId="0" fontId="0" fillId="0" borderId="71" xfId="0" applyBorder="1" applyAlignment="1" applyProtection="1">
      <alignment horizontal="center" vertical="center"/>
      <protection locked="0"/>
    </xf>
    <xf numFmtId="0" fontId="34" fillId="0" borderId="15" xfId="3" applyBorder="1" applyAlignment="1" applyProtection="1">
      <alignment horizontal="center" vertical="center"/>
      <protection locked="0"/>
    </xf>
    <xf numFmtId="0" fontId="0" fillId="0" borderId="72" xfId="0" applyBorder="1" applyProtection="1">
      <alignment vertical="center"/>
      <protection locked="0"/>
    </xf>
    <xf numFmtId="0" fontId="0" fillId="0" borderId="73" xfId="0" applyBorder="1" applyProtection="1">
      <alignment vertical="center"/>
      <protection locked="0"/>
    </xf>
    <xf numFmtId="2" fontId="0" fillId="0" borderId="72" xfId="0" applyNumberFormat="1" applyBorder="1" applyProtection="1">
      <alignment vertical="center"/>
      <protection locked="0"/>
    </xf>
    <xf numFmtId="0" fontId="0" fillId="0" borderId="73" xfId="0" applyBorder="1" applyAlignment="1" applyProtection="1">
      <alignment horizontal="center" vertical="center"/>
      <protection locked="0"/>
    </xf>
    <xf numFmtId="0" fontId="34" fillId="0" borderId="16" xfId="3" applyBorder="1" applyAlignment="1" applyProtection="1">
      <alignment horizontal="center" vertical="center"/>
      <protection locked="0"/>
    </xf>
    <xf numFmtId="0" fontId="0" fillId="0" borderId="74" xfId="0" applyBorder="1" applyProtection="1">
      <alignment vertical="center"/>
      <protection locked="0"/>
    </xf>
    <xf numFmtId="0" fontId="0" fillId="0" borderId="75" xfId="0" applyBorder="1" applyProtection="1">
      <alignment vertical="center"/>
      <protection locked="0"/>
    </xf>
    <xf numFmtId="2" fontId="0" fillId="0" borderId="74" xfId="0" applyNumberFormat="1" applyBorder="1" applyProtection="1">
      <alignment vertical="center"/>
      <protection locked="0"/>
    </xf>
    <xf numFmtId="0" fontId="0" fillId="0" borderId="75" xfId="0" applyBorder="1" applyAlignment="1" applyProtection="1">
      <alignment horizontal="center" vertical="center"/>
      <protection locked="0"/>
    </xf>
    <xf numFmtId="0" fontId="18" fillId="6" borderId="0" xfId="0" applyFont="1" applyFill="1" applyAlignment="1">
      <alignment horizontal="left" vertical="center" shrinkToFit="1"/>
    </xf>
    <xf numFmtId="0" fontId="18" fillId="6" borderId="0" xfId="0" applyFont="1" applyFill="1" applyAlignment="1">
      <alignment horizontal="right" vertical="center"/>
    </xf>
    <xf numFmtId="0" fontId="18" fillId="6" borderId="0" xfId="0" applyFont="1" applyFill="1" applyAlignment="1">
      <alignment horizontal="left" vertical="center"/>
    </xf>
    <xf numFmtId="0" fontId="22" fillId="2" borderId="40" xfId="0" applyFont="1" applyFill="1" applyBorder="1" applyAlignment="1" applyProtection="1">
      <alignment horizontal="left" vertical="center"/>
      <protection locked="0"/>
    </xf>
    <xf numFmtId="0" fontId="22" fillId="2" borderId="39" xfId="0" applyFont="1" applyFill="1" applyBorder="1" applyAlignment="1" applyProtection="1">
      <alignment horizontal="left" vertical="center"/>
      <protection locked="0"/>
    </xf>
    <xf numFmtId="0" fontId="22" fillId="2" borderId="47" xfId="0" applyFont="1" applyFill="1" applyBorder="1" applyAlignment="1" applyProtection="1">
      <alignment horizontal="left" vertical="center"/>
      <protection locked="0"/>
    </xf>
    <xf numFmtId="0" fontId="22" fillId="2" borderId="46" xfId="0" applyFont="1" applyFill="1" applyBorder="1" applyAlignment="1" applyProtection="1">
      <alignment horizontal="left" vertical="center"/>
      <protection locked="0"/>
    </xf>
    <xf numFmtId="0" fontId="22" fillId="6" borderId="0" xfId="0" applyFont="1" applyFill="1" applyAlignment="1">
      <alignment horizontal="left" vertical="center"/>
    </xf>
    <xf numFmtId="0" fontId="18" fillId="6" borderId="6" xfId="0" applyFont="1" applyFill="1" applyBorder="1" applyAlignment="1">
      <alignment horizontal="center" vertical="center"/>
    </xf>
    <xf numFmtId="0" fontId="18" fillId="6" borderId="0" xfId="0" applyFont="1" applyFill="1" applyAlignment="1">
      <alignment horizontal="center" vertical="center"/>
    </xf>
    <xf numFmtId="0" fontId="18" fillId="6" borderId="4" xfId="0" applyFont="1" applyFill="1" applyBorder="1" applyAlignment="1">
      <alignment horizontal="center" vertical="center"/>
    </xf>
    <xf numFmtId="0" fontId="18" fillId="6" borderId="0" xfId="0" applyFont="1" applyFill="1" applyAlignment="1">
      <alignment horizontal="left" vertical="center" wrapText="1"/>
    </xf>
    <xf numFmtId="0" fontId="18" fillId="6" borderId="0" xfId="0" applyFont="1" applyFill="1" applyAlignment="1">
      <alignment horizontal="center" vertical="center" wrapText="1"/>
    </xf>
    <xf numFmtId="0" fontId="28" fillId="6" borderId="0" xfId="0" applyFont="1" applyFill="1" applyProtection="1">
      <alignment vertical="center"/>
      <protection locked="0"/>
    </xf>
    <xf numFmtId="0" fontId="22" fillId="6" borderId="0" xfId="0" applyFont="1" applyFill="1" applyAlignment="1">
      <alignment horizontal="left" vertical="center" wrapText="1"/>
    </xf>
    <xf numFmtId="0" fontId="23" fillId="6" borderId="0" xfId="0" applyFont="1" applyFill="1" applyAlignment="1">
      <alignment horizontal="left" vertical="center"/>
    </xf>
    <xf numFmtId="0" fontId="25" fillId="6" borderId="0" xfId="0" applyFont="1" applyFill="1" applyAlignment="1">
      <alignment horizontal="left" vertical="top" wrapText="1"/>
    </xf>
    <xf numFmtId="0" fontId="37" fillId="0" borderId="0" xfId="0" applyFont="1">
      <alignment vertical="center"/>
    </xf>
    <xf numFmtId="0" fontId="30" fillId="0" borderId="0" xfId="0" applyFont="1">
      <alignment vertical="center"/>
    </xf>
    <xf numFmtId="0" fontId="38" fillId="5" borderId="1" xfId="0" applyFont="1" applyFill="1" applyBorder="1" applyAlignment="1">
      <alignment horizontal="right" vertical="center"/>
    </xf>
    <xf numFmtId="0" fontId="31" fillId="0" borderId="1" xfId="0" applyFont="1" applyBorder="1" applyAlignment="1">
      <alignment horizontal="left" vertical="center"/>
    </xf>
    <xf numFmtId="0" fontId="31" fillId="0" borderId="23" xfId="0" applyFont="1" applyBorder="1" applyAlignment="1">
      <alignment horizontal="left" vertical="center"/>
    </xf>
    <xf numFmtId="0" fontId="38" fillId="5" borderId="2" xfId="0" applyFont="1" applyFill="1" applyBorder="1" applyAlignment="1">
      <alignment horizontal="right" vertical="center"/>
    </xf>
    <xf numFmtId="0" fontId="31" fillId="2" borderId="77" xfId="0" applyFont="1" applyFill="1" applyBorder="1" applyAlignment="1" applyProtection="1">
      <alignment horizontal="left" vertical="center"/>
      <protection locked="0"/>
    </xf>
    <xf numFmtId="181" fontId="39" fillId="5" borderId="3" xfId="0" applyNumberFormat="1" applyFont="1" applyFill="1" applyBorder="1">
      <alignment vertical="center"/>
    </xf>
    <xf numFmtId="0" fontId="41" fillId="0" borderId="0" xfId="0" applyFont="1" applyAlignment="1">
      <alignment horizontal="left" vertical="center"/>
    </xf>
    <xf numFmtId="0" fontId="38" fillId="5" borderId="1" xfId="0" applyFont="1" applyFill="1" applyBorder="1" applyAlignment="1">
      <alignment horizontal="center" vertical="center"/>
    </xf>
    <xf numFmtId="0" fontId="38" fillId="5" borderId="2" xfId="0" applyFont="1" applyFill="1" applyBorder="1" applyAlignment="1">
      <alignment horizontal="center" vertical="center"/>
    </xf>
    <xf numFmtId="0" fontId="42" fillId="5" borderId="1" xfId="0" applyFont="1" applyFill="1" applyBorder="1" applyAlignment="1">
      <alignment horizontal="center" vertical="center"/>
    </xf>
    <xf numFmtId="0" fontId="43" fillId="5" borderId="1" xfId="0" applyFont="1" applyFill="1" applyBorder="1" applyAlignment="1">
      <alignment horizontal="right" vertical="center"/>
    </xf>
    <xf numFmtId="14" fontId="44" fillId="5" borderId="1" xfId="0" applyNumberFormat="1" applyFont="1" applyFill="1" applyBorder="1">
      <alignment vertical="center"/>
    </xf>
    <xf numFmtId="0" fontId="44" fillId="5" borderId="2" xfId="0" applyFont="1" applyFill="1" applyBorder="1" applyAlignment="1">
      <alignment horizontal="left" vertical="center"/>
    </xf>
    <xf numFmtId="181" fontId="44" fillId="5" borderId="1" xfId="2" applyNumberFormat="1" applyFont="1" applyFill="1" applyBorder="1">
      <alignment vertical="center"/>
    </xf>
    <xf numFmtId="0" fontId="30" fillId="5" borderId="1" xfId="0" applyFont="1" applyFill="1" applyBorder="1" applyProtection="1">
      <alignment vertical="center"/>
      <protection locked="0"/>
    </xf>
    <xf numFmtId="14" fontId="30" fillId="2" borderId="1" xfId="0" applyNumberFormat="1" applyFont="1" applyFill="1" applyBorder="1" applyProtection="1">
      <alignment vertical="center"/>
      <protection locked="0"/>
    </xf>
    <xf numFmtId="0" fontId="30" fillId="2" borderId="2" xfId="0" applyFont="1" applyFill="1" applyBorder="1" applyAlignment="1" applyProtection="1">
      <alignment horizontal="left" vertical="center"/>
      <protection locked="0"/>
    </xf>
    <xf numFmtId="181" fontId="30" fillId="2" borderId="1" xfId="2" applyNumberFormat="1" applyFont="1" applyFill="1" applyBorder="1" applyProtection="1">
      <alignment vertical="center"/>
      <protection locked="0"/>
    </xf>
    <xf numFmtId="0" fontId="47" fillId="0" borderId="0" xfId="0" applyFont="1">
      <alignment vertical="center"/>
    </xf>
    <xf numFmtId="0" fontId="30" fillId="2" borderId="1" xfId="0" applyFont="1" applyFill="1" applyBorder="1" applyProtection="1">
      <alignment vertical="center"/>
      <protection locked="0"/>
    </xf>
    <xf numFmtId="0" fontId="30" fillId="0" borderId="0" xfId="0" applyFont="1" applyProtection="1">
      <alignment vertical="center"/>
      <protection locked="0"/>
    </xf>
    <xf numFmtId="0" fontId="35" fillId="6" borderId="0" xfId="0" applyFont="1" applyFill="1" applyProtection="1">
      <alignment vertical="center"/>
      <protection locked="0"/>
    </xf>
    <xf numFmtId="0" fontId="34" fillId="6" borderId="0" xfId="3" applyFill="1" applyAlignment="1" applyProtection="1">
      <alignment vertical="center"/>
      <protection locked="0"/>
    </xf>
    <xf numFmtId="0" fontId="22" fillId="6" borderId="0" xfId="0" applyFont="1" applyFill="1" applyAlignment="1" applyProtection="1">
      <alignment horizontal="left" vertical="center"/>
      <protection locked="0"/>
    </xf>
    <xf numFmtId="0" fontId="28" fillId="6" borderId="0" xfId="0" applyFont="1" applyFill="1" applyAlignment="1" applyProtection="1">
      <alignment horizontal="left" vertical="center"/>
      <protection locked="0"/>
    </xf>
    <xf numFmtId="0" fontId="22" fillId="6" borderId="0" xfId="0" applyFont="1" applyFill="1" applyProtection="1">
      <alignment vertical="center"/>
      <protection locked="0"/>
    </xf>
    <xf numFmtId="0" fontId="22" fillId="6" borderId="0" xfId="0" applyFont="1" applyFill="1" applyAlignment="1">
      <alignment horizontal="center" vertical="center"/>
    </xf>
    <xf numFmtId="0" fontId="22" fillId="6" borderId="0" xfId="0" applyFont="1" applyFill="1" applyAlignment="1">
      <alignment horizontal="center" vertical="center" wrapText="1"/>
    </xf>
    <xf numFmtId="0" fontId="22" fillId="6" borderId="43" xfId="0" applyFont="1" applyFill="1" applyBorder="1" applyAlignment="1">
      <alignment horizontal="center" vertical="center"/>
    </xf>
    <xf numFmtId="38" fontId="0" fillId="4" borderId="13" xfId="2" applyFont="1" applyFill="1" applyBorder="1" applyAlignment="1">
      <alignment horizontal="center" vertical="center"/>
    </xf>
    <xf numFmtId="38" fontId="0" fillId="0" borderId="1" xfId="2" applyFont="1" applyBorder="1" applyAlignment="1" applyProtection="1">
      <alignment horizontal="right" vertical="center"/>
      <protection locked="0"/>
    </xf>
    <xf numFmtId="0" fontId="15" fillId="0" borderId="1" xfId="0" applyFont="1" applyBorder="1" applyAlignment="1" applyProtection="1">
      <alignment vertical="center" wrapText="1"/>
      <protection locked="0"/>
    </xf>
    <xf numFmtId="0" fontId="0" fillId="2" borderId="38" xfId="0" applyFill="1" applyBorder="1" applyAlignment="1">
      <alignment horizontal="left" vertical="center"/>
    </xf>
    <xf numFmtId="0" fontId="0" fillId="2" borderId="42" xfId="0" applyFill="1" applyBorder="1" applyAlignment="1">
      <alignment horizontal="left" vertical="center"/>
    </xf>
    <xf numFmtId="0" fontId="0" fillId="2" borderId="45" xfId="0" applyFill="1" applyBorder="1" applyAlignment="1">
      <alignment horizontal="left" vertical="center"/>
    </xf>
    <xf numFmtId="0" fontId="0" fillId="0" borderId="39" xfId="0" applyFill="1" applyBorder="1" applyAlignment="1">
      <alignment horizontal="left" vertical="center"/>
    </xf>
    <xf numFmtId="0" fontId="0" fillId="0" borderId="43" xfId="0" applyFill="1" applyBorder="1" applyAlignment="1">
      <alignment horizontal="left" vertical="center"/>
    </xf>
    <xf numFmtId="0" fontId="0" fillId="0" borderId="46" xfId="0" applyFill="1" applyBorder="1" applyAlignment="1">
      <alignment horizontal="left" vertical="center"/>
    </xf>
    <xf numFmtId="0" fontId="0" fillId="5" borderId="41" xfId="0" applyFill="1" applyBorder="1" applyAlignment="1">
      <alignment horizontal="left" vertical="center"/>
    </xf>
    <xf numFmtId="0" fontId="0" fillId="5" borderId="39" xfId="0" applyFill="1" applyBorder="1" applyAlignment="1">
      <alignment horizontal="left" vertical="center"/>
    </xf>
    <xf numFmtId="0" fontId="0" fillId="5" borderId="0" xfId="0" applyFill="1" applyAlignment="1">
      <alignment horizontal="left" vertical="center"/>
    </xf>
    <xf numFmtId="0" fontId="0" fillId="5" borderId="43" xfId="0" applyFill="1" applyBorder="1" applyAlignment="1">
      <alignment horizontal="left" vertical="center"/>
    </xf>
    <xf numFmtId="0" fontId="0" fillId="5" borderId="48" xfId="0" applyFill="1" applyBorder="1" applyAlignment="1">
      <alignment horizontal="left" vertical="center"/>
    </xf>
    <xf numFmtId="0" fontId="0" fillId="5" borderId="46" xfId="0" applyFill="1" applyBorder="1" applyAlignment="1">
      <alignment horizontal="left" vertical="center"/>
    </xf>
    <xf numFmtId="0" fontId="0" fillId="5" borderId="1" xfId="0" applyFill="1" applyBorder="1">
      <alignment vertical="center"/>
    </xf>
    <xf numFmtId="0" fontId="0" fillId="5" borderId="2" xfId="0" applyFill="1" applyBorder="1">
      <alignment vertical="center"/>
    </xf>
    <xf numFmtId="0" fontId="0" fillId="2" borderId="3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4" borderId="50" xfId="0" applyFill="1" applyBorder="1" applyAlignment="1" applyProtection="1">
      <alignment vertical="center" shrinkToFit="1"/>
      <protection locked="0"/>
    </xf>
    <xf numFmtId="0" fontId="0" fillId="4" borderId="51" xfId="0" applyFill="1" applyBorder="1" applyAlignment="1" applyProtection="1">
      <alignment vertical="center" shrinkToFit="1"/>
      <protection locked="0"/>
    </xf>
    <xf numFmtId="0" fontId="0" fillId="4" borderId="52" xfId="0" applyFill="1" applyBorder="1" applyAlignment="1" applyProtection="1">
      <alignment vertical="center" shrinkToFit="1"/>
      <protection locked="0"/>
    </xf>
    <xf numFmtId="0" fontId="0" fillId="5" borderId="2" xfId="0" applyFill="1" applyBorder="1" applyProtection="1">
      <alignment vertical="center"/>
      <protection locked="0"/>
    </xf>
    <xf numFmtId="0" fontId="0" fillId="5" borderId="12" xfId="0" applyFill="1" applyBorder="1" applyProtection="1">
      <alignment vertical="center"/>
      <protection locked="0"/>
    </xf>
    <xf numFmtId="179" fontId="0" fillId="2" borderId="32" xfId="0" applyNumberFormat="1" applyFill="1" applyBorder="1" applyAlignment="1" applyProtection="1">
      <alignment horizontal="left" vertical="center"/>
      <protection locked="0"/>
    </xf>
    <xf numFmtId="179" fontId="0" fillId="2" borderId="33" xfId="0" applyNumberFormat="1" applyFill="1" applyBorder="1" applyAlignment="1" applyProtection="1">
      <alignment horizontal="left" vertical="center"/>
      <protection locked="0"/>
    </xf>
    <xf numFmtId="179" fontId="0" fillId="2" borderId="34" xfId="0" applyNumberFormat="1" applyFill="1" applyBorder="1" applyAlignment="1" applyProtection="1">
      <alignment horizontal="left" vertical="center"/>
      <protection locked="0"/>
    </xf>
    <xf numFmtId="0" fontId="16" fillId="9" borderId="2" xfId="0" applyFont="1" applyFill="1" applyBorder="1" applyAlignment="1" applyProtection="1">
      <alignment horizontal="left" vertical="center" shrinkToFit="1"/>
      <protection locked="0"/>
    </xf>
    <xf numFmtId="0" fontId="16" fillId="9" borderId="3" xfId="0" applyFont="1" applyFill="1" applyBorder="1" applyAlignment="1" applyProtection="1">
      <alignment horizontal="left" vertical="center" shrinkToFit="1"/>
      <protection locked="0"/>
    </xf>
    <xf numFmtId="0" fontId="16" fillId="9" borderId="12" xfId="0" applyFont="1" applyFill="1" applyBorder="1" applyAlignment="1" applyProtection="1">
      <alignment horizontal="left" vertical="center" shrinkToFit="1"/>
      <protection locked="0"/>
    </xf>
    <xf numFmtId="0" fontId="0" fillId="0" borderId="49" xfId="0" applyBorder="1" applyAlignment="1" applyProtection="1">
      <alignment vertical="center" shrinkToFit="1"/>
      <protection locked="0"/>
    </xf>
    <xf numFmtId="38" fontId="0" fillId="2" borderId="32" xfId="2" applyFont="1" applyFill="1" applyBorder="1" applyAlignment="1" applyProtection="1">
      <alignment horizontal="right" vertical="center"/>
      <protection locked="0"/>
    </xf>
    <xf numFmtId="38" fontId="0" fillId="2" borderId="33" xfId="2" applyFont="1" applyFill="1" applyBorder="1" applyAlignment="1" applyProtection="1">
      <alignment horizontal="right" vertical="center"/>
      <protection locked="0"/>
    </xf>
    <xf numFmtId="38" fontId="0" fillId="2" borderId="34" xfId="2" applyFont="1" applyFill="1" applyBorder="1" applyAlignment="1" applyProtection="1">
      <alignment horizontal="right" vertical="center"/>
      <protection locked="0"/>
    </xf>
    <xf numFmtId="0" fontId="0" fillId="6" borderId="39" xfId="0" applyFill="1" applyBorder="1" applyAlignment="1">
      <alignment horizontal="left" vertical="center"/>
    </xf>
    <xf numFmtId="0" fontId="0" fillId="6" borderId="43" xfId="0" applyFill="1" applyBorder="1" applyAlignment="1">
      <alignment horizontal="left" vertical="center"/>
    </xf>
    <xf numFmtId="0" fontId="0" fillId="6" borderId="46" xfId="0" applyFill="1" applyBorder="1" applyAlignment="1">
      <alignment horizontal="left" vertical="center"/>
    </xf>
    <xf numFmtId="0" fontId="0" fillId="0" borderId="41" xfId="0" applyFill="1" applyBorder="1" applyAlignment="1">
      <alignment horizontal="left" vertical="center"/>
    </xf>
    <xf numFmtId="0" fontId="0" fillId="0" borderId="0" xfId="0" applyFill="1" applyAlignment="1">
      <alignment horizontal="left" vertical="center"/>
    </xf>
    <xf numFmtId="0" fontId="0" fillId="5" borderId="35" xfId="0" applyFill="1" applyBorder="1">
      <alignment vertical="center"/>
    </xf>
    <xf numFmtId="0" fontId="0" fillId="5" borderId="36" xfId="0" applyFill="1" applyBorder="1">
      <alignment vertical="center"/>
    </xf>
    <xf numFmtId="0" fontId="0" fillId="5" borderId="37" xfId="0" applyFill="1" applyBorder="1">
      <alignment vertical="center"/>
    </xf>
    <xf numFmtId="0" fontId="8" fillId="0" borderId="0" xfId="0" applyFont="1" applyAlignment="1">
      <alignment horizontal="center" vertical="center"/>
    </xf>
    <xf numFmtId="0" fontId="0" fillId="2" borderId="32"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4" fillId="0" borderId="0" xfId="0" applyFont="1" applyAlignment="1">
      <alignment vertical="center" wrapText="1"/>
    </xf>
    <xf numFmtId="0" fontId="4" fillId="6" borderId="5" xfId="0" applyFont="1" applyFill="1" applyBorder="1" applyAlignment="1">
      <alignment horizontal="left" vertical="center"/>
    </xf>
    <xf numFmtId="0" fontId="4" fillId="6" borderId="6" xfId="0" applyFont="1" applyFill="1" applyBorder="1" applyAlignment="1">
      <alignment horizontal="left" vertical="center"/>
    </xf>
    <xf numFmtId="0" fontId="4" fillId="6" borderId="7" xfId="0" applyFont="1" applyFill="1" applyBorder="1" applyAlignment="1">
      <alignment horizontal="left" vertical="center"/>
    </xf>
    <xf numFmtId="0" fontId="9" fillId="2" borderId="32" xfId="0" applyFont="1" applyFill="1" applyBorder="1" applyAlignment="1" applyProtection="1">
      <alignment horizontal="left" vertical="center"/>
      <protection locked="0"/>
    </xf>
    <xf numFmtId="0" fontId="9" fillId="2" borderId="33" xfId="0" applyFont="1" applyFill="1" applyBorder="1" applyAlignment="1" applyProtection="1">
      <alignment horizontal="left" vertical="center"/>
      <protection locked="0"/>
    </xf>
    <xf numFmtId="0" fontId="9" fillId="2" borderId="34" xfId="0" applyFont="1" applyFill="1" applyBorder="1" applyAlignment="1" applyProtection="1">
      <alignment horizontal="left" vertical="center"/>
      <protection locked="0"/>
    </xf>
    <xf numFmtId="0" fontId="0" fillId="5" borderId="76" xfId="0" applyFill="1" applyBorder="1">
      <alignment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8" fillId="6" borderId="6" xfId="0" applyFont="1" applyFill="1" applyBorder="1" applyAlignment="1">
      <alignment horizontal="left" vertical="center" shrinkToFit="1"/>
    </xf>
    <xf numFmtId="0" fontId="18" fillId="6" borderId="0" xfId="0" applyFont="1" applyFill="1" applyAlignment="1">
      <alignment horizontal="left" vertical="center" shrinkToFit="1"/>
    </xf>
    <xf numFmtId="0" fontId="19" fillId="2" borderId="6" xfId="0" applyFont="1" applyFill="1" applyBorder="1" applyAlignment="1">
      <alignment horizontal="center" vertical="center"/>
    </xf>
    <xf numFmtId="0" fontId="19" fillId="2" borderId="0" xfId="0" applyFont="1" applyFill="1" applyAlignment="1">
      <alignment horizontal="center" vertical="center"/>
    </xf>
    <xf numFmtId="0" fontId="18" fillId="6" borderId="6" xfId="0" applyFont="1" applyFill="1" applyBorder="1" applyAlignment="1">
      <alignment horizontal="right" vertical="center"/>
    </xf>
    <xf numFmtId="0" fontId="18" fillId="6" borderId="0" xfId="0" applyFont="1" applyFill="1" applyAlignment="1">
      <alignment horizontal="right" vertical="center"/>
    </xf>
    <xf numFmtId="0" fontId="21" fillId="6" borderId="0" xfId="0" applyFont="1" applyFill="1" applyAlignment="1">
      <alignment horizontal="left" vertical="center" shrinkToFit="1"/>
    </xf>
    <xf numFmtId="0" fontId="18" fillId="6" borderId="0" xfId="0" applyFont="1" applyFill="1" applyAlignment="1">
      <alignment horizontal="left" vertical="center"/>
    </xf>
    <xf numFmtId="0" fontId="18" fillId="6" borderId="4" xfId="0" applyFont="1" applyFill="1" applyBorder="1" applyAlignment="1">
      <alignment horizontal="left" vertical="center"/>
    </xf>
    <xf numFmtId="0" fontId="18" fillId="5" borderId="5"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4" xfId="0" applyFont="1" applyFill="1" applyBorder="1" applyAlignment="1">
      <alignment horizontal="center"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Alignment="1">
      <alignment horizontal="left" vertical="center"/>
    </xf>
    <xf numFmtId="0" fontId="22" fillId="0" borderId="9" xfId="0" applyFont="1" applyBorder="1" applyAlignment="1">
      <alignment horizontal="left" vertical="center"/>
    </xf>
    <xf numFmtId="0" fontId="18" fillId="5" borderId="8" xfId="0" applyFont="1" applyFill="1" applyBorder="1" applyAlignment="1">
      <alignment horizontal="center" vertical="center"/>
    </xf>
    <xf numFmtId="0" fontId="18" fillId="5" borderId="0" xfId="0" applyFont="1" applyFill="1" applyAlignment="1">
      <alignment horizontal="center" vertical="center"/>
    </xf>
    <xf numFmtId="0" fontId="22" fillId="2" borderId="40" xfId="0" applyFont="1" applyFill="1" applyBorder="1" applyAlignment="1" applyProtection="1">
      <alignment horizontal="left" vertical="center"/>
      <protection locked="0"/>
    </xf>
    <xf numFmtId="0" fontId="22" fillId="2" borderId="41" xfId="0" applyFont="1" applyFill="1" applyBorder="1" applyAlignment="1" applyProtection="1">
      <alignment horizontal="left" vertical="center"/>
      <protection locked="0"/>
    </xf>
    <xf numFmtId="0" fontId="22" fillId="2" borderId="39" xfId="0" applyFont="1" applyFill="1" applyBorder="1" applyAlignment="1" applyProtection="1">
      <alignment horizontal="left" vertical="center"/>
      <protection locked="0"/>
    </xf>
    <xf numFmtId="0" fontId="22" fillId="2" borderId="44" xfId="0" applyFont="1" applyFill="1" applyBorder="1" applyAlignment="1" applyProtection="1">
      <alignment horizontal="left" vertical="center"/>
      <protection locked="0"/>
    </xf>
    <xf numFmtId="0" fontId="22" fillId="2" borderId="0" xfId="0" applyFont="1" applyFill="1" applyAlignment="1" applyProtection="1">
      <alignment horizontal="left" vertical="center"/>
      <protection locked="0"/>
    </xf>
    <xf numFmtId="0" fontId="22" fillId="2" borderId="43" xfId="0" applyFont="1" applyFill="1" applyBorder="1" applyAlignment="1" applyProtection="1">
      <alignment horizontal="left" vertical="center"/>
      <protection locked="0"/>
    </xf>
    <xf numFmtId="0" fontId="22" fillId="2" borderId="47" xfId="0" applyFont="1" applyFill="1" applyBorder="1" applyAlignment="1" applyProtection="1">
      <alignment horizontal="left" vertical="center"/>
      <protection locked="0"/>
    </xf>
    <xf numFmtId="0" fontId="22" fillId="2" borderId="48" xfId="0" applyFont="1" applyFill="1" applyBorder="1" applyAlignment="1" applyProtection="1">
      <alignment horizontal="left" vertical="center"/>
      <protection locked="0"/>
    </xf>
    <xf numFmtId="0" fontId="22" fillId="2" borderId="46" xfId="0" applyFont="1" applyFill="1" applyBorder="1" applyAlignment="1" applyProtection="1">
      <alignment horizontal="left" vertical="center"/>
      <protection locked="0"/>
    </xf>
    <xf numFmtId="0" fontId="18" fillId="5" borderId="40" xfId="0" applyFont="1" applyFill="1" applyBorder="1" applyAlignment="1">
      <alignment horizontal="center" vertical="center" wrapText="1"/>
    </xf>
    <xf numFmtId="0" fontId="18" fillId="5" borderId="41" xfId="0" applyFont="1" applyFill="1" applyBorder="1" applyAlignment="1">
      <alignment horizontal="center" vertical="center"/>
    </xf>
    <xf numFmtId="0" fontId="18" fillId="5" borderId="39" xfId="0" applyFont="1" applyFill="1" applyBorder="1" applyAlignment="1">
      <alignment horizontal="center" vertical="center"/>
    </xf>
    <xf numFmtId="0" fontId="18" fillId="5" borderId="44" xfId="0" applyFont="1" applyFill="1" applyBorder="1" applyAlignment="1">
      <alignment horizontal="center" vertical="center"/>
    </xf>
    <xf numFmtId="0" fontId="18" fillId="5" borderId="43" xfId="0" applyFont="1" applyFill="1" applyBorder="1" applyAlignment="1">
      <alignment horizontal="center" vertical="center"/>
    </xf>
    <xf numFmtId="0" fontId="18" fillId="5" borderId="62" xfId="0" applyFont="1" applyFill="1" applyBorder="1" applyAlignment="1">
      <alignment horizontal="center" vertical="center"/>
    </xf>
    <xf numFmtId="0" fontId="18" fillId="5" borderId="63" xfId="0" applyFont="1" applyFill="1" applyBorder="1" applyAlignment="1">
      <alignment horizontal="center" vertical="center"/>
    </xf>
    <xf numFmtId="0" fontId="25" fillId="2" borderId="53" xfId="0" applyFont="1" applyFill="1" applyBorder="1" applyAlignment="1" applyProtection="1">
      <alignment horizontal="left" vertical="center"/>
      <protection locked="0"/>
    </xf>
    <xf numFmtId="0" fontId="25" fillId="2" borderId="54" xfId="0" applyFont="1" applyFill="1" applyBorder="1" applyAlignment="1" applyProtection="1">
      <alignment horizontal="left" vertical="center"/>
      <protection locked="0"/>
    </xf>
    <xf numFmtId="0" fontId="25" fillId="2" borderId="55" xfId="0" applyFont="1" applyFill="1" applyBorder="1" applyAlignment="1" applyProtection="1">
      <alignment horizontal="left" vertical="center"/>
      <protection locked="0"/>
    </xf>
    <xf numFmtId="0" fontId="25" fillId="2" borderId="56" xfId="0" applyFont="1" applyFill="1" applyBorder="1" applyAlignment="1" applyProtection="1">
      <alignment horizontal="left" vertical="center"/>
      <protection locked="0"/>
    </xf>
    <xf numFmtId="0" fontId="25" fillId="2" borderId="57" xfId="0" applyFont="1" applyFill="1" applyBorder="1" applyAlignment="1" applyProtection="1">
      <alignment horizontal="left" vertical="center"/>
      <protection locked="0"/>
    </xf>
    <xf numFmtId="0" fontId="22" fillId="2" borderId="58" xfId="0" applyFont="1" applyFill="1" applyBorder="1" applyAlignment="1" applyProtection="1">
      <alignment horizontal="left" vertical="center"/>
      <protection locked="0"/>
    </xf>
    <xf numFmtId="0" fontId="22" fillId="2" borderId="6" xfId="0" applyFont="1" applyFill="1" applyBorder="1" applyAlignment="1" applyProtection="1">
      <alignment horizontal="left" vertical="center"/>
      <protection locked="0"/>
    </xf>
    <xf numFmtId="0" fontId="22" fillId="2" borderId="59" xfId="0" applyFont="1" applyFill="1" applyBorder="1" applyAlignment="1" applyProtection="1">
      <alignment horizontal="left" vertical="center"/>
      <protection locked="0"/>
    </xf>
    <xf numFmtId="0" fontId="22" fillId="2" borderId="64" xfId="0" applyFont="1" applyFill="1" applyBorder="1" applyAlignment="1" applyProtection="1">
      <alignment horizontal="left" vertical="center"/>
      <protection locked="0"/>
    </xf>
    <xf numFmtId="0" fontId="22" fillId="2" borderId="60" xfId="0" applyFont="1" applyFill="1" applyBorder="1" applyAlignment="1" applyProtection="1">
      <alignment horizontal="left" vertical="center"/>
      <protection locked="0"/>
    </xf>
    <xf numFmtId="0" fontId="22" fillId="2" borderId="61" xfId="0" applyFont="1" applyFill="1" applyBorder="1" applyAlignment="1" applyProtection="1">
      <alignment horizontal="left" vertical="center"/>
      <protection locked="0"/>
    </xf>
    <xf numFmtId="0" fontId="22" fillId="2" borderId="65" xfId="0" applyFont="1" applyFill="1" applyBorder="1" applyAlignment="1" applyProtection="1">
      <alignment horizontal="left" vertical="center"/>
      <protection locked="0"/>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2" borderId="32" xfId="0" applyFont="1" applyFill="1" applyBorder="1" applyAlignment="1" applyProtection="1">
      <alignment horizontal="left" vertical="top" wrapText="1"/>
      <protection locked="0"/>
    </xf>
    <xf numFmtId="0" fontId="18" fillId="2" borderId="33" xfId="0" applyFont="1" applyFill="1" applyBorder="1" applyAlignment="1" applyProtection="1">
      <alignment horizontal="left" vertical="top"/>
      <protection locked="0"/>
    </xf>
    <xf numFmtId="0" fontId="18" fillId="2" borderId="34" xfId="0" applyFont="1" applyFill="1" applyBorder="1" applyAlignment="1" applyProtection="1">
      <alignment horizontal="left" vertical="top"/>
      <protection locked="0"/>
    </xf>
    <xf numFmtId="0" fontId="18" fillId="2" borderId="32" xfId="0" applyFont="1" applyFill="1" applyBorder="1" applyAlignment="1" applyProtection="1">
      <alignment horizontal="left" vertical="top"/>
      <protection locked="0"/>
    </xf>
    <xf numFmtId="0" fontId="18" fillId="0" borderId="4" xfId="0" applyFont="1" applyBorder="1" applyAlignment="1">
      <alignment horizontal="center" vertical="center"/>
    </xf>
    <xf numFmtId="0" fontId="18" fillId="2" borderId="32" xfId="0" applyFont="1" applyFill="1" applyBorder="1" applyAlignment="1" applyProtection="1">
      <alignment horizontal="left" vertical="center"/>
      <protection locked="0"/>
    </xf>
    <xf numFmtId="0" fontId="18" fillId="2" borderId="33" xfId="0" applyFont="1" applyFill="1" applyBorder="1" applyAlignment="1" applyProtection="1">
      <alignment horizontal="left" vertical="center"/>
      <protection locked="0"/>
    </xf>
    <xf numFmtId="0" fontId="18" fillId="2" borderId="34" xfId="0" applyFont="1" applyFill="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18" fillId="0" borderId="33" xfId="0" applyFont="1" applyBorder="1" applyAlignment="1" applyProtection="1">
      <alignment horizontal="left" vertical="center"/>
      <protection locked="0"/>
    </xf>
    <xf numFmtId="0" fontId="18" fillId="5" borderId="7" xfId="0" applyFont="1" applyFill="1" applyBorder="1" applyAlignment="1">
      <alignment horizontal="center" vertical="center"/>
    </xf>
    <xf numFmtId="0" fontId="18" fillId="5" borderId="11" xfId="0" applyFont="1" applyFill="1" applyBorder="1" applyAlignment="1">
      <alignment horizontal="center" vertical="center"/>
    </xf>
    <xf numFmtId="0" fontId="18" fillId="6" borderId="5" xfId="0" applyFont="1" applyFill="1" applyBorder="1" applyAlignment="1">
      <alignment horizontal="left" vertical="center"/>
    </xf>
    <xf numFmtId="0" fontId="18" fillId="6" borderId="6" xfId="0" applyFont="1" applyFill="1" applyBorder="1" applyAlignment="1">
      <alignment horizontal="left" vertical="center"/>
    </xf>
    <xf numFmtId="0" fontId="18" fillId="6" borderId="7" xfId="0" applyFont="1" applyFill="1" applyBorder="1" applyAlignment="1">
      <alignment horizontal="left" vertical="center"/>
    </xf>
    <xf numFmtId="0" fontId="18" fillId="6" borderId="10" xfId="0" applyFont="1" applyFill="1" applyBorder="1" applyAlignment="1">
      <alignment horizontal="left" vertical="center"/>
    </xf>
    <xf numFmtId="0" fontId="18" fillId="6" borderId="11" xfId="0" applyFont="1" applyFill="1" applyBorder="1" applyAlignment="1">
      <alignment horizontal="left" vertical="center"/>
    </xf>
    <xf numFmtId="0" fontId="18" fillId="5" borderId="6" xfId="0" applyFont="1" applyFill="1" applyBorder="1" applyAlignment="1">
      <alignment horizontal="center" vertical="center" wrapText="1"/>
    </xf>
    <xf numFmtId="49" fontId="22" fillId="2" borderId="40" xfId="0" applyNumberFormat="1" applyFont="1" applyFill="1" applyBorder="1" applyAlignment="1" applyProtection="1">
      <alignment horizontal="center" vertical="center"/>
      <protection locked="0"/>
    </xf>
    <xf numFmtId="49" fontId="22" fillId="2" borderId="41" xfId="0" applyNumberFormat="1" applyFont="1" applyFill="1" applyBorder="1" applyAlignment="1" applyProtection="1">
      <alignment horizontal="center" vertical="center"/>
      <protection locked="0"/>
    </xf>
    <xf numFmtId="49" fontId="22" fillId="2" borderId="47" xfId="0" applyNumberFormat="1" applyFont="1" applyFill="1" applyBorder="1" applyAlignment="1" applyProtection="1">
      <alignment horizontal="center" vertical="center"/>
      <protection locked="0"/>
    </xf>
    <xf numFmtId="49" fontId="22" fillId="2" borderId="48" xfId="0" applyNumberFormat="1" applyFont="1" applyFill="1" applyBorder="1" applyAlignment="1" applyProtection="1">
      <alignment horizontal="center" vertical="center"/>
      <protection locked="0"/>
    </xf>
    <xf numFmtId="0" fontId="22" fillId="0" borderId="41" xfId="0" applyFont="1" applyBorder="1" applyAlignment="1">
      <alignment horizontal="center" vertical="center"/>
    </xf>
    <xf numFmtId="0" fontId="22" fillId="0" borderId="48" xfId="0" applyFont="1" applyBorder="1" applyAlignment="1">
      <alignment horizontal="center" vertical="center"/>
    </xf>
    <xf numFmtId="49" fontId="22" fillId="2" borderId="39" xfId="0" applyNumberFormat="1" applyFont="1" applyFill="1" applyBorder="1" applyAlignment="1" applyProtection="1">
      <alignment horizontal="center" vertical="center"/>
      <protection locked="0"/>
    </xf>
    <xf numFmtId="49" fontId="22" fillId="2" borderId="46" xfId="0" applyNumberFormat="1" applyFont="1" applyFill="1" applyBorder="1" applyAlignment="1" applyProtection="1">
      <alignment horizontal="center" vertical="center"/>
      <protection locked="0"/>
    </xf>
    <xf numFmtId="0" fontId="18" fillId="6" borderId="5"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18" fillId="6" borderId="10"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8" fillId="6" borderId="11" xfId="0" applyFont="1" applyFill="1" applyBorder="1" applyAlignment="1">
      <alignment horizontal="left" vertical="center" wrapText="1"/>
    </xf>
    <xf numFmtId="0" fontId="22" fillId="6" borderId="0" xfId="0" applyFont="1" applyFill="1" applyAlignment="1">
      <alignment horizontal="left" vertical="center"/>
    </xf>
    <xf numFmtId="0" fontId="18"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38" fontId="27" fillId="6" borderId="5" xfId="2" applyFont="1" applyFill="1" applyBorder="1" applyAlignment="1" applyProtection="1">
      <alignment horizontal="right" vertical="center"/>
    </xf>
    <xf numFmtId="38" fontId="27" fillId="6" borderId="6" xfId="2" applyFont="1" applyFill="1" applyBorder="1" applyAlignment="1" applyProtection="1">
      <alignment horizontal="right" vertical="center"/>
    </xf>
    <xf numFmtId="38" fontId="27" fillId="6" borderId="8" xfId="2" applyFont="1" applyFill="1" applyBorder="1" applyAlignment="1" applyProtection="1">
      <alignment horizontal="right" vertical="center"/>
    </xf>
    <xf numFmtId="38" fontId="27" fillId="6" borderId="0" xfId="2" applyFont="1" applyFill="1" applyBorder="1" applyAlignment="1" applyProtection="1">
      <alignment horizontal="right" vertical="center"/>
    </xf>
    <xf numFmtId="0" fontId="22" fillId="6" borderId="5"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9" xfId="0" applyFont="1" applyFill="1" applyBorder="1" applyAlignment="1">
      <alignment horizontal="center" vertical="center" wrapText="1"/>
    </xf>
    <xf numFmtId="0" fontId="22" fillId="6" borderId="10"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5" fillId="6" borderId="8" xfId="0" applyFont="1" applyFill="1" applyBorder="1" applyAlignment="1">
      <alignment horizontal="left" vertical="center" wrapText="1"/>
    </xf>
    <xf numFmtId="0" fontId="25" fillId="6" borderId="0" xfId="0" applyFont="1" applyFill="1" applyAlignment="1">
      <alignment horizontal="left" vertical="center"/>
    </xf>
    <xf numFmtId="0" fontId="25" fillId="6" borderId="8" xfId="0" applyFont="1" applyFill="1" applyBorder="1" applyAlignment="1">
      <alignment horizontal="left" vertical="center"/>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0" xfId="0" applyFont="1" applyFill="1" applyAlignment="1">
      <alignment horizontal="center" vertical="center"/>
    </xf>
    <xf numFmtId="0" fontId="22" fillId="5" borderId="10" xfId="0" applyFont="1" applyFill="1" applyBorder="1" applyAlignment="1">
      <alignment horizontal="center" vertical="center"/>
    </xf>
    <xf numFmtId="0" fontId="22" fillId="5" borderId="4" xfId="0" applyFont="1" applyFill="1" applyBorder="1" applyAlignment="1">
      <alignment horizontal="center" vertical="center"/>
    </xf>
    <xf numFmtId="38" fontId="27" fillId="6" borderId="1" xfId="2" applyFont="1" applyFill="1" applyBorder="1" applyAlignment="1" applyProtection="1">
      <alignment horizontal="right" vertical="center"/>
    </xf>
    <xf numFmtId="0" fontId="22" fillId="6" borderId="1" xfId="0" applyFont="1" applyFill="1" applyBorder="1" applyAlignment="1">
      <alignment horizontal="center" vertical="center" wrapText="1"/>
    </xf>
    <xf numFmtId="0" fontId="22" fillId="6" borderId="1" xfId="0" applyFont="1" applyFill="1" applyBorder="1" applyAlignment="1">
      <alignment horizontal="center" vertical="center"/>
    </xf>
    <xf numFmtId="0" fontId="18" fillId="5" borderId="0" xfId="0" applyFont="1" applyFill="1" applyAlignment="1">
      <alignment horizontal="center" vertical="center" wrapText="1"/>
    </xf>
    <xf numFmtId="0" fontId="18" fillId="5" borderId="4" xfId="0" applyFont="1" applyFill="1" applyBorder="1" applyAlignment="1">
      <alignment horizontal="center" vertical="center" wrapText="1"/>
    </xf>
    <xf numFmtId="38" fontId="27" fillId="6" borderId="7" xfId="2" applyFont="1" applyFill="1" applyBorder="1" applyAlignment="1" applyProtection="1">
      <alignment horizontal="right" vertical="center"/>
    </xf>
    <xf numFmtId="38" fontId="27" fillId="6" borderId="9" xfId="2" applyFont="1" applyFill="1" applyBorder="1" applyAlignment="1" applyProtection="1">
      <alignment horizontal="right" vertical="center"/>
    </xf>
    <xf numFmtId="38" fontId="27" fillId="6" borderId="10" xfId="2" applyFont="1" applyFill="1" applyBorder="1" applyAlignment="1" applyProtection="1">
      <alignment horizontal="right" vertical="center"/>
    </xf>
    <xf numFmtId="38" fontId="27" fillId="6" borderId="4" xfId="2" applyFont="1" applyFill="1" applyBorder="1" applyAlignment="1" applyProtection="1">
      <alignment horizontal="right" vertical="center"/>
    </xf>
    <xf numFmtId="38" fontId="27" fillId="6" borderId="11" xfId="2" applyFont="1" applyFill="1" applyBorder="1" applyAlignment="1" applyProtection="1">
      <alignment horizontal="right" vertical="center"/>
    </xf>
    <xf numFmtId="0" fontId="25" fillId="6" borderId="0" xfId="0" applyFont="1" applyFill="1" applyAlignment="1">
      <alignment horizontal="left" vertical="center" wrapText="1"/>
    </xf>
    <xf numFmtId="0" fontId="18" fillId="5" borderId="2" xfId="0" applyFont="1" applyFill="1" applyBorder="1" applyAlignment="1">
      <alignment horizontal="center" vertical="center" wrapText="1"/>
    </xf>
    <xf numFmtId="0" fontId="18" fillId="6" borderId="10" xfId="0" applyFont="1" applyFill="1" applyBorder="1" applyAlignment="1">
      <alignment horizontal="left" vertical="center" shrinkToFit="1"/>
    </xf>
    <xf numFmtId="0" fontId="18" fillId="6" borderId="4" xfId="0" applyFont="1" applyFill="1" applyBorder="1" applyAlignment="1">
      <alignment horizontal="left" vertical="center" shrinkToFit="1"/>
    </xf>
    <xf numFmtId="0" fontId="18" fillId="6" borderId="12" xfId="0" applyFont="1" applyFill="1" applyBorder="1" applyAlignment="1">
      <alignment horizontal="left" vertical="center" shrinkToFit="1"/>
    </xf>
    <xf numFmtId="0" fontId="18" fillId="6" borderId="3" xfId="0" applyFont="1" applyFill="1" applyBorder="1" applyAlignment="1">
      <alignment horizontal="left" vertical="center" shrinkToFit="1"/>
    </xf>
    <xf numFmtId="0" fontId="18" fillId="6" borderId="5"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2" fillId="6" borderId="0" xfId="0" applyFont="1" applyFill="1" applyAlignment="1">
      <alignment horizontal="center" vertical="center"/>
    </xf>
    <xf numFmtId="0" fontId="22" fillId="6" borderId="9"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5" xfId="0" applyFont="1" applyFill="1" applyBorder="1" applyAlignment="1">
      <alignment horizontal="left" vertical="center" wrapText="1"/>
    </xf>
    <xf numFmtId="0" fontId="22" fillId="6" borderId="6"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6" borderId="0" xfId="0" applyFont="1" applyFill="1" applyAlignment="1">
      <alignment horizontal="left" vertical="center" wrapText="1"/>
    </xf>
    <xf numFmtId="0" fontId="22" fillId="6" borderId="10" xfId="0" applyFont="1" applyFill="1" applyBorder="1" applyAlignment="1">
      <alignment horizontal="left" vertical="center" wrapText="1"/>
    </xf>
    <xf numFmtId="0" fontId="22" fillId="6" borderId="4" xfId="0" applyFont="1" applyFill="1" applyBorder="1" applyAlignment="1">
      <alignment horizontal="left" vertical="center" wrapText="1"/>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22" fillId="2" borderId="40" xfId="0" applyFont="1" applyFill="1" applyBorder="1" applyAlignment="1" applyProtection="1">
      <alignment vertical="top" wrapText="1"/>
      <protection locked="0"/>
    </xf>
    <xf numFmtId="0" fontId="22" fillId="2" borderId="41" xfId="0" applyFont="1" applyFill="1" applyBorder="1" applyAlignment="1" applyProtection="1">
      <alignment vertical="top"/>
      <protection locked="0"/>
    </xf>
    <xf numFmtId="0" fontId="22" fillId="2" borderId="39" xfId="0" applyFont="1" applyFill="1" applyBorder="1" applyAlignment="1" applyProtection="1">
      <alignment vertical="top"/>
      <protection locked="0"/>
    </xf>
    <xf numFmtId="0" fontId="22" fillId="2" borderId="44" xfId="0" applyFont="1" applyFill="1" applyBorder="1" applyAlignment="1" applyProtection="1">
      <alignment vertical="top"/>
      <protection locked="0"/>
    </xf>
    <xf numFmtId="0" fontId="22" fillId="2" borderId="0" xfId="0" applyFont="1" applyFill="1" applyAlignment="1" applyProtection="1">
      <alignment vertical="top"/>
      <protection locked="0"/>
    </xf>
    <xf numFmtId="0" fontId="22" fillId="2" borderId="43" xfId="0" applyFont="1" applyFill="1" applyBorder="1" applyAlignment="1" applyProtection="1">
      <alignment vertical="top"/>
      <protection locked="0"/>
    </xf>
    <xf numFmtId="0" fontId="22" fillId="2" borderId="47" xfId="0" applyFont="1" applyFill="1" applyBorder="1" applyAlignment="1" applyProtection="1">
      <alignment vertical="top"/>
      <protection locked="0"/>
    </xf>
    <xf numFmtId="0" fontId="22" fillId="2" borderId="48" xfId="0" applyFont="1" applyFill="1" applyBorder="1" applyAlignment="1" applyProtection="1">
      <alignment vertical="top"/>
      <protection locked="0"/>
    </xf>
    <xf numFmtId="0" fontId="22" fillId="2" borderId="46" xfId="0" applyFont="1" applyFill="1" applyBorder="1" applyAlignment="1" applyProtection="1">
      <alignment vertical="top"/>
      <protection locked="0"/>
    </xf>
    <xf numFmtId="0" fontId="22" fillId="6" borderId="6" xfId="0" applyFont="1" applyFill="1" applyBorder="1" applyAlignment="1">
      <alignment horizontal="left" vertical="center"/>
    </xf>
    <xf numFmtId="0" fontId="18" fillId="2" borderId="40"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6" xfId="0" applyFont="1" applyFill="1" applyBorder="1" applyAlignment="1">
      <alignment horizontal="center" vertical="center"/>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9"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8" xfId="0" applyFont="1" applyFill="1" applyBorder="1" applyAlignment="1">
      <alignment horizontal="left" vertical="center" wrapText="1"/>
    </xf>
    <xf numFmtId="0" fontId="18" fillId="6" borderId="0" xfId="0" applyFont="1" applyFill="1" applyAlignment="1">
      <alignment horizontal="left" vertical="center" wrapText="1"/>
    </xf>
    <xf numFmtId="0" fontId="36" fillId="5" borderId="32" xfId="0" applyFont="1" applyFill="1" applyBorder="1" applyAlignment="1">
      <alignment horizontal="center" vertical="center"/>
    </xf>
    <xf numFmtId="0" fontId="36" fillId="5" borderId="33" xfId="0" applyFont="1" applyFill="1" applyBorder="1" applyAlignment="1">
      <alignment horizontal="center" vertical="center"/>
    </xf>
    <xf numFmtId="0" fontId="36" fillId="5" borderId="34" xfId="0" applyFont="1" applyFill="1" applyBorder="1" applyAlignment="1">
      <alignment horizontal="center" vertical="center"/>
    </xf>
    <xf numFmtId="0" fontId="40" fillId="14" borderId="4" xfId="0" applyFont="1" applyFill="1" applyBorder="1" applyAlignment="1">
      <alignment horizontal="center" vertical="center"/>
    </xf>
    <xf numFmtId="0" fontId="22" fillId="2" borderId="40" xfId="0" applyFont="1" applyFill="1" applyBorder="1" applyProtection="1">
      <alignment vertical="center"/>
      <protection locked="0"/>
    </xf>
    <xf numFmtId="0" fontId="22" fillId="2" borderId="41" xfId="0" applyFont="1" applyFill="1" applyBorder="1" applyProtection="1">
      <alignment vertical="center"/>
      <protection locked="0"/>
    </xf>
    <xf numFmtId="0" fontId="22" fillId="2" borderId="39" xfId="0" applyFont="1" applyFill="1" applyBorder="1" applyProtection="1">
      <alignment vertical="center"/>
      <protection locked="0"/>
    </xf>
    <xf numFmtId="0" fontId="22" fillId="2" borderId="47" xfId="0" applyFont="1" applyFill="1" applyBorder="1" applyProtection="1">
      <alignment vertical="center"/>
      <protection locked="0"/>
    </xf>
    <xf numFmtId="0" fontId="22" fillId="2" borderId="48" xfId="0" applyFont="1" applyFill="1" applyBorder="1" applyProtection="1">
      <alignment vertical="center"/>
      <protection locked="0"/>
    </xf>
    <xf numFmtId="0" fontId="22" fillId="2" borderId="46" xfId="0" applyFont="1" applyFill="1" applyBorder="1" applyProtection="1">
      <alignment vertical="center"/>
      <protection locked="0"/>
    </xf>
    <xf numFmtId="0" fontId="18" fillId="6" borderId="6" xfId="0" applyFont="1" applyFill="1" applyBorder="1" applyAlignment="1">
      <alignment horizontal="center" vertical="center"/>
    </xf>
    <xf numFmtId="0" fontId="18" fillId="0" borderId="7" xfId="0" applyFont="1" applyBorder="1" applyAlignment="1">
      <alignment horizontal="center" vertical="center"/>
    </xf>
    <xf numFmtId="0" fontId="18" fillId="6" borderId="0" xfId="0" applyFont="1" applyFill="1" applyAlignment="1">
      <alignment horizontal="center" vertical="center"/>
    </xf>
    <xf numFmtId="0" fontId="18" fillId="6" borderId="4" xfId="0" applyFont="1" applyFill="1" applyBorder="1" applyAlignment="1">
      <alignment horizontal="center"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179" fontId="22" fillId="2" borderId="40" xfId="0" applyNumberFormat="1" applyFont="1" applyFill="1" applyBorder="1" applyAlignment="1" applyProtection="1">
      <alignment horizontal="left" vertical="center"/>
      <protection locked="0"/>
    </xf>
    <xf numFmtId="179" fontId="22" fillId="2" borderId="41" xfId="0" applyNumberFormat="1" applyFont="1" applyFill="1" applyBorder="1" applyAlignment="1" applyProtection="1">
      <alignment horizontal="left" vertical="center"/>
      <protection locked="0"/>
    </xf>
    <xf numFmtId="179" fontId="22" fillId="2" borderId="39" xfId="0" applyNumberFormat="1" applyFont="1" applyFill="1" applyBorder="1" applyAlignment="1" applyProtection="1">
      <alignment horizontal="left" vertical="center"/>
      <protection locked="0"/>
    </xf>
    <xf numFmtId="179" fontId="22" fillId="2" borderId="47" xfId="0" applyNumberFormat="1" applyFont="1" applyFill="1" applyBorder="1" applyAlignment="1" applyProtection="1">
      <alignment horizontal="left" vertical="center"/>
      <protection locked="0"/>
    </xf>
    <xf numFmtId="179" fontId="22" fillId="2" borderId="48" xfId="0" applyNumberFormat="1" applyFont="1" applyFill="1" applyBorder="1" applyAlignment="1" applyProtection="1">
      <alignment horizontal="left" vertical="center"/>
      <protection locked="0"/>
    </xf>
    <xf numFmtId="179" fontId="22" fillId="2" borderId="46" xfId="0" applyNumberFormat="1" applyFont="1" applyFill="1" applyBorder="1" applyAlignment="1" applyProtection="1">
      <alignment horizontal="left" vertical="center"/>
      <protection locked="0"/>
    </xf>
    <xf numFmtId="0" fontId="18" fillId="5" borderId="5" xfId="0" applyFont="1" applyFill="1" applyBorder="1" applyAlignment="1">
      <alignment horizontal="center" vertical="center" wrapText="1"/>
    </xf>
    <xf numFmtId="0" fontId="22" fillId="2" borderId="40" xfId="0" applyFont="1" applyFill="1" applyBorder="1" applyAlignment="1" applyProtection="1">
      <alignment horizontal="left" vertical="center" wrapText="1"/>
      <protection locked="0"/>
    </xf>
    <xf numFmtId="0" fontId="22" fillId="0" borderId="47" xfId="0" applyFont="1" applyBorder="1" applyAlignment="1" applyProtection="1">
      <alignment horizontal="left" vertical="center"/>
      <protection locked="0"/>
    </xf>
    <xf numFmtId="0" fontId="22" fillId="0" borderId="48" xfId="0" applyFont="1" applyBorder="1" applyAlignment="1" applyProtection="1">
      <alignment horizontal="left" vertical="center"/>
      <protection locked="0"/>
    </xf>
    <xf numFmtId="0" fontId="22" fillId="6" borderId="4" xfId="0" applyFont="1" applyFill="1" applyBorder="1" applyAlignment="1">
      <alignment horizontal="left" vertical="center"/>
    </xf>
    <xf numFmtId="0" fontId="22" fillId="0" borderId="6" xfId="0" applyFont="1" applyBorder="1" applyAlignment="1">
      <alignment horizontal="center" vertical="center"/>
    </xf>
    <xf numFmtId="0" fontId="22" fillId="0" borderId="4" xfId="0" applyFont="1" applyBorder="1" applyAlignment="1">
      <alignment horizontal="center" vertical="center"/>
    </xf>
    <xf numFmtId="0" fontId="22" fillId="6" borderId="58" xfId="0" applyFont="1" applyFill="1" applyBorder="1" applyAlignment="1" applyProtection="1">
      <alignment horizontal="left" vertical="center"/>
      <protection locked="0"/>
    </xf>
    <xf numFmtId="0" fontId="22" fillId="6" borderId="6" xfId="0" applyFont="1" applyFill="1" applyBorder="1" applyAlignment="1" applyProtection="1">
      <alignment horizontal="left" vertical="center"/>
      <protection locked="0"/>
    </xf>
    <xf numFmtId="0" fontId="22" fillId="6" borderId="7" xfId="0" applyFont="1" applyFill="1" applyBorder="1" applyAlignment="1" applyProtection="1">
      <alignment horizontal="left" vertical="center"/>
      <protection locked="0"/>
    </xf>
    <xf numFmtId="0" fontId="22" fillId="6" borderId="62" xfId="0" applyFont="1" applyFill="1" applyBorder="1" applyAlignment="1" applyProtection="1">
      <alignment horizontal="left" vertical="center"/>
      <protection locked="0"/>
    </xf>
    <xf numFmtId="0" fontId="22" fillId="6" borderId="4" xfId="0" applyFont="1" applyFill="1" applyBorder="1" applyAlignment="1" applyProtection="1">
      <alignment horizontal="left" vertical="center"/>
      <protection locked="0"/>
    </xf>
    <xf numFmtId="0" fontId="22" fillId="6" borderId="11" xfId="0" applyFont="1" applyFill="1" applyBorder="1" applyAlignment="1" applyProtection="1">
      <alignment horizontal="left" vertical="center"/>
      <protection locked="0"/>
    </xf>
    <xf numFmtId="0" fontId="18" fillId="6" borderId="0" xfId="0" applyFont="1" applyFill="1" applyAlignment="1">
      <alignment horizontal="left"/>
    </xf>
    <xf numFmtId="0" fontId="18" fillId="0" borderId="0" xfId="0" applyFont="1" applyAlignment="1">
      <alignment horizontal="left" vertical="center"/>
    </xf>
    <xf numFmtId="0" fontId="18" fillId="0" borderId="4" xfId="0" applyFont="1" applyBorder="1" applyAlignment="1">
      <alignment horizontal="left" vertical="center"/>
    </xf>
    <xf numFmtId="0" fontId="29" fillId="6" borderId="5" xfId="0" applyFont="1" applyFill="1" applyBorder="1" applyAlignment="1">
      <alignment horizontal="center" vertical="center" wrapText="1"/>
    </xf>
    <xf numFmtId="0" fontId="29" fillId="6" borderId="6"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6" borderId="0" xfId="0" applyFont="1" applyFill="1" applyAlignment="1">
      <alignment horizontal="center" vertical="center" wrapText="1"/>
    </xf>
    <xf numFmtId="0" fontId="29" fillId="6" borderId="9"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6" borderId="11" xfId="0" applyFont="1" applyFill="1" applyBorder="1" applyAlignment="1">
      <alignment horizontal="center" vertical="center" wrapText="1"/>
    </xf>
    <xf numFmtId="0" fontId="0" fillId="11" borderId="1" xfId="0" applyFill="1" applyBorder="1" applyAlignment="1">
      <alignment horizontal="center" vertical="center"/>
    </xf>
    <xf numFmtId="0" fontId="0" fillId="11" borderId="1" xfId="0" applyFill="1" applyBorder="1" applyAlignment="1">
      <alignment horizontal="left" vertical="center"/>
    </xf>
    <xf numFmtId="0" fontId="0" fillId="11" borderId="1" xfId="0" applyFill="1" applyBorder="1">
      <alignment vertical="center"/>
    </xf>
    <xf numFmtId="0" fontId="30" fillId="10" borderId="1" xfId="0" applyFont="1" applyFill="1" applyBorder="1">
      <alignment vertical="center"/>
    </xf>
    <xf numFmtId="0" fontId="31" fillId="10" borderId="1" xfId="0" applyFont="1" applyFill="1" applyBorder="1">
      <alignment vertical="center"/>
    </xf>
    <xf numFmtId="0" fontId="0" fillId="10" borderId="1" xfId="0" applyFill="1" applyBorder="1">
      <alignment vertical="center"/>
    </xf>
    <xf numFmtId="0" fontId="0" fillId="0" borderId="1" xfId="0" applyBorder="1">
      <alignment vertical="center"/>
    </xf>
    <xf numFmtId="0" fontId="30" fillId="12" borderId="1" xfId="0" applyFont="1" applyFill="1" applyBorder="1" applyAlignment="1">
      <alignment horizontal="center" vertical="center" wrapText="1"/>
    </xf>
    <xf numFmtId="0" fontId="30" fillId="12" borderId="1" xfId="0" applyFont="1" applyFill="1" applyBorder="1" applyAlignment="1">
      <alignment vertical="center" shrinkToFit="1"/>
    </xf>
    <xf numFmtId="0" fontId="0" fillId="0" borderId="1" xfId="0" applyBorder="1" applyAlignment="1">
      <alignment vertical="center" wrapText="1"/>
    </xf>
    <xf numFmtId="0" fontId="32"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protection locked="0"/>
    </xf>
    <xf numFmtId="0" fontId="0" fillId="0" borderId="1" xfId="0" applyBorder="1" applyAlignment="1">
      <alignment horizontal="left" vertical="center" wrapText="1"/>
    </xf>
    <xf numFmtId="0" fontId="18" fillId="5" borderId="1"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11" xfId="0" applyFont="1" applyFill="1" applyBorder="1" applyAlignment="1">
      <alignment horizontal="center" vertical="center"/>
    </xf>
    <xf numFmtId="0" fontId="33" fillId="13" borderId="5" xfId="0" applyFont="1" applyFill="1" applyBorder="1" applyAlignment="1">
      <alignment horizontal="left" vertical="center"/>
    </xf>
    <xf numFmtId="0" fontId="33" fillId="13" borderId="6" xfId="0" applyFont="1" applyFill="1" applyBorder="1" applyAlignment="1">
      <alignment horizontal="left" vertical="center"/>
    </xf>
    <xf numFmtId="0" fontId="33" fillId="13" borderId="7" xfId="0" applyFont="1" applyFill="1" applyBorder="1" applyAlignment="1">
      <alignment horizontal="left" vertical="center"/>
    </xf>
    <xf numFmtId="0" fontId="33" fillId="13" borderId="10" xfId="0" applyFont="1" applyFill="1" applyBorder="1" applyAlignment="1">
      <alignment horizontal="left" vertical="center"/>
    </xf>
    <xf numFmtId="0" fontId="33" fillId="13" borderId="4" xfId="0" applyFont="1" applyFill="1" applyBorder="1" applyAlignment="1">
      <alignment horizontal="left" vertical="center"/>
    </xf>
    <xf numFmtId="0" fontId="33" fillId="13" borderId="11" xfId="0" applyFont="1" applyFill="1" applyBorder="1" applyAlignment="1">
      <alignment horizontal="left" vertical="center"/>
    </xf>
    <xf numFmtId="0" fontId="18" fillId="6" borderId="9" xfId="0" applyFont="1" applyFill="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8" fillId="0" borderId="4" xfId="0" applyFont="1" applyBorder="1" applyAlignment="1">
      <alignment horizontal="left" vertical="center" wrapText="1"/>
    </xf>
    <xf numFmtId="0" fontId="18" fillId="0" borderId="11" xfId="0" applyFont="1" applyBorder="1" applyAlignment="1">
      <alignment horizontal="left" vertical="center" wrapText="1"/>
    </xf>
    <xf numFmtId="0" fontId="22" fillId="6" borderId="7"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2" fillId="6" borderId="11"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22" fillId="6" borderId="1" xfId="0" applyFont="1" applyFill="1" applyBorder="1" applyAlignment="1">
      <alignment horizontal="left" vertical="center" wrapText="1"/>
    </xf>
    <xf numFmtId="0" fontId="0" fillId="5" borderId="1" xfId="0" applyFill="1" applyBorder="1" applyProtection="1">
      <alignment vertical="center"/>
      <protection locked="0"/>
    </xf>
    <xf numFmtId="0" fontId="9" fillId="0" borderId="0" xfId="0" applyFont="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0" fillId="4" borderId="0" xfId="0" applyFill="1" applyAlignment="1">
      <alignment horizontal="left" vertical="center"/>
    </xf>
    <xf numFmtId="0" fontId="0" fillId="0" borderId="0" xfId="0" applyAlignment="1">
      <alignment horizontal="center" vertical="center"/>
    </xf>
    <xf numFmtId="0" fontId="0" fillId="6" borderId="17" xfId="0" applyFill="1" applyBorder="1" applyAlignment="1">
      <alignment horizontal="center" vertical="center"/>
    </xf>
    <xf numFmtId="0" fontId="0" fillId="6" borderId="28" xfId="0" applyFill="1" applyBorder="1" applyAlignment="1">
      <alignment horizontal="center" vertical="center"/>
    </xf>
    <xf numFmtId="0" fontId="0" fillId="6" borderId="18" xfId="0" applyFill="1" applyBorder="1" applyAlignment="1">
      <alignment horizontal="center" vertical="center"/>
    </xf>
    <xf numFmtId="0" fontId="0" fillId="5" borderId="5"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18" fillId="6" borderId="66" xfId="0" applyFont="1" applyFill="1" applyBorder="1" applyAlignment="1" applyProtection="1">
      <alignment horizontal="left" vertical="center"/>
    </xf>
    <xf numFmtId="0" fontId="18" fillId="6" borderId="33" xfId="0" applyFont="1" applyFill="1" applyBorder="1" applyAlignment="1" applyProtection="1">
      <alignment horizontal="left" vertical="center"/>
    </xf>
    <xf numFmtId="0" fontId="18" fillId="6" borderId="67" xfId="0" applyFont="1" applyFill="1" applyBorder="1" applyAlignment="1" applyProtection="1">
      <alignment horizontal="left" vertical="center"/>
    </xf>
  </cellXfs>
  <cellStyles count="4">
    <cellStyle name="パーセント 2" xfId="1" xr:uid="{695B5A06-FD67-483A-AB7C-42AF23C8C958}"/>
    <cellStyle name="ハイパーリンク" xfId="3" builtinId="8"/>
    <cellStyle name="桁区切り" xfId="2" builtinId="6"/>
    <cellStyle name="標準" xfId="0" builtinId="0"/>
  </cellStyles>
  <dxfs count="64">
    <dxf>
      <font>
        <color rgb="FF9C0006"/>
      </font>
      <fill>
        <patternFill>
          <bgColor rgb="FFFFC7CE"/>
        </patternFill>
      </fill>
    </dxf>
    <dxf>
      <font>
        <color rgb="FF006100"/>
      </font>
      <fill>
        <patternFill>
          <bgColor rgb="FFC6EF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CheckBox" fmlaLink="L16" lockText="1" noThreeD="1"/>
</file>

<file path=xl/ctrlProps/ctrlProp10.xml><?xml version="1.0" encoding="utf-8"?>
<formControlPr xmlns="http://schemas.microsoft.com/office/spreadsheetml/2009/9/main" objectType="CheckBox" fmlaLink="$M$25" lockText="1" noThreeD="1"/>
</file>

<file path=xl/ctrlProps/ctrlProp11.xml><?xml version="1.0" encoding="utf-8"?>
<formControlPr xmlns="http://schemas.microsoft.com/office/spreadsheetml/2009/9/main" objectType="CheckBox" fmlaLink="$M$35" lockText="1" noThreeD="1"/>
</file>

<file path=xl/ctrlProps/ctrlProp12.xml><?xml version="1.0" encoding="utf-8"?>
<formControlPr xmlns="http://schemas.microsoft.com/office/spreadsheetml/2009/9/main" objectType="CheckBox" fmlaLink="$N$31" lockText="1" noThreeD="1"/>
</file>

<file path=xl/ctrlProps/ctrlProp13.xml><?xml version="1.0" encoding="utf-8"?>
<formControlPr xmlns="http://schemas.microsoft.com/office/spreadsheetml/2009/9/main" objectType="CheckBox" fmlaLink="$N$32" lockText="1" noThreeD="1"/>
</file>

<file path=xl/ctrlProps/ctrlProp14.xml><?xml version="1.0" encoding="utf-8"?>
<formControlPr xmlns="http://schemas.microsoft.com/office/spreadsheetml/2009/9/main" objectType="CheckBox" fmlaLink="$M$33" lockText="1" noThreeD="1"/>
</file>

<file path=xl/ctrlProps/ctrlProp15.xml><?xml version="1.0" encoding="utf-8"?>
<formControlPr xmlns="http://schemas.microsoft.com/office/spreadsheetml/2009/9/main" objectType="CheckBox" fmlaLink="$AU$80"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U$83" lockText="1" noThreeD="1"/>
</file>

<file path=xl/ctrlProps/ctrlProp18.xml><?xml version="1.0" encoding="utf-8"?>
<formControlPr xmlns="http://schemas.microsoft.com/office/spreadsheetml/2009/9/main" objectType="CheckBox" fmlaLink="$AU$86" lockText="1" noThreeD="1"/>
</file>

<file path=xl/ctrlProps/ctrlProp19.xml><?xml version="1.0" encoding="utf-8"?>
<formControlPr xmlns="http://schemas.microsoft.com/office/spreadsheetml/2009/9/main" objectType="CheckBox" fmlaLink="$AU$89" lockText="1" noThreeD="1"/>
</file>

<file path=xl/ctrlProps/ctrlProp2.xml><?xml version="1.0" encoding="utf-8"?>
<formControlPr xmlns="http://schemas.microsoft.com/office/spreadsheetml/2009/9/main" objectType="CheckBox" fmlaLink="M19" lockText="1" noThreeD="1"/>
</file>

<file path=xl/ctrlProps/ctrlProp20.xml><?xml version="1.0" encoding="utf-8"?>
<formControlPr xmlns="http://schemas.microsoft.com/office/spreadsheetml/2009/9/main" objectType="CheckBox" fmlaLink="$AU$92" lockText="1" noThreeD="1"/>
</file>

<file path=xl/ctrlProps/ctrlProp21.xml><?xml version="1.0" encoding="utf-8"?>
<formControlPr xmlns="http://schemas.microsoft.com/office/spreadsheetml/2009/9/main" objectType="CheckBox" fmlaLink="$AU$96" lockText="1" noThreeD="1"/>
</file>

<file path=xl/ctrlProps/ctrlProp22.xml><?xml version="1.0" encoding="utf-8"?>
<formControlPr xmlns="http://schemas.microsoft.com/office/spreadsheetml/2009/9/main" objectType="CheckBox" fmlaLink="$AU$102" lockText="1" noThreeD="1"/>
</file>

<file path=xl/ctrlProps/ctrlProp23.xml><?xml version="1.0" encoding="utf-8"?>
<formControlPr xmlns="http://schemas.microsoft.com/office/spreadsheetml/2009/9/main" objectType="CheckBox" fmlaLink="$AU$105" lockText="1" noThreeD="1"/>
</file>

<file path=xl/ctrlProps/ctrlProp24.xml><?xml version="1.0" encoding="utf-8"?>
<formControlPr xmlns="http://schemas.microsoft.com/office/spreadsheetml/2009/9/main" objectType="CheckBox" fmlaLink="$AU$111" lockText="1" noThreeD="1"/>
</file>

<file path=xl/ctrlProps/ctrlProp25.xml><?xml version="1.0" encoding="utf-8"?>
<formControlPr xmlns="http://schemas.microsoft.com/office/spreadsheetml/2009/9/main" objectType="CheckBox" fmlaLink="$AU$130" lockText="1" noThreeD="1"/>
</file>

<file path=xl/ctrlProps/ctrlProp26.xml><?xml version="1.0" encoding="utf-8"?>
<formControlPr xmlns="http://schemas.microsoft.com/office/spreadsheetml/2009/9/main" objectType="CheckBox" fmlaLink="$AU$133" lockText="1" noThreeD="1"/>
</file>

<file path=xl/ctrlProps/ctrlProp27.xml><?xml version="1.0" encoding="utf-8"?>
<formControlPr xmlns="http://schemas.microsoft.com/office/spreadsheetml/2009/9/main" objectType="CheckBox" fmlaLink="$AU$136" lockText="1" noThreeD="1"/>
</file>

<file path=xl/ctrlProps/ctrlProp28.xml><?xml version="1.0" encoding="utf-8"?>
<formControlPr xmlns="http://schemas.microsoft.com/office/spreadsheetml/2009/9/main" objectType="CheckBox" fmlaLink="$AU$151" lockText="1" noThreeD="1"/>
</file>

<file path=xl/ctrlProps/ctrlProp29.xml><?xml version="1.0" encoding="utf-8"?>
<formControlPr xmlns="http://schemas.microsoft.com/office/spreadsheetml/2009/9/main" objectType="CheckBox" fmlaLink="$AU$157" lockText="1" noThreeD="1"/>
</file>

<file path=xl/ctrlProps/ctrlProp3.xml><?xml version="1.0" encoding="utf-8"?>
<formControlPr xmlns="http://schemas.microsoft.com/office/spreadsheetml/2009/9/main" objectType="CheckBox" fmlaLink="L21" lockText="1" noThreeD="1"/>
</file>

<file path=xl/ctrlProps/ctrlProp30.xml><?xml version="1.0" encoding="utf-8"?>
<formControlPr xmlns="http://schemas.microsoft.com/office/spreadsheetml/2009/9/main" objectType="CheckBox" fmlaLink="$AU$139" lockText="1" noThreeD="1"/>
</file>

<file path=xl/ctrlProps/ctrlProp31.xml><?xml version="1.0" encoding="utf-8"?>
<formControlPr xmlns="http://schemas.microsoft.com/office/spreadsheetml/2009/9/main" objectType="CheckBox" fmlaLink="$AU$142" lockText="1" noThreeD="1"/>
</file>

<file path=xl/ctrlProps/ctrlProp32.xml><?xml version="1.0" encoding="utf-8"?>
<formControlPr xmlns="http://schemas.microsoft.com/office/spreadsheetml/2009/9/main" objectType="CheckBox" fmlaLink="$AU$145" lockText="1" noThreeD="1"/>
</file>

<file path=xl/ctrlProps/ctrlProp33.xml><?xml version="1.0" encoding="utf-8"?>
<formControlPr xmlns="http://schemas.microsoft.com/office/spreadsheetml/2009/9/main" objectType="CheckBox" fmlaLink="$AU$148" lockText="1" noThreeD="1"/>
</file>

<file path=xl/ctrlProps/ctrlProp34.xml><?xml version="1.0" encoding="utf-8"?>
<formControlPr xmlns="http://schemas.microsoft.com/office/spreadsheetml/2009/9/main" objectType="CheckBox" fmlaLink="$AU$154" lockText="1" noThreeD="1"/>
</file>

<file path=xl/ctrlProps/ctrlProp35.xml><?xml version="1.0" encoding="utf-8"?>
<formControlPr xmlns="http://schemas.microsoft.com/office/spreadsheetml/2009/9/main" objectType="CheckBox" fmlaLink="$AU$108" lockText="1" noThreeD="1"/>
</file>

<file path=xl/ctrlProps/ctrlProp36.xml><?xml version="1.0" encoding="utf-8"?>
<formControlPr xmlns="http://schemas.microsoft.com/office/spreadsheetml/2009/9/main" objectType="CheckBox" fmlaLink="$AU$73" lockText="1" noThreeD="1"/>
</file>

<file path=xl/ctrlProps/ctrlProp37.xml><?xml version="1.0" encoding="utf-8"?>
<formControlPr xmlns="http://schemas.microsoft.com/office/spreadsheetml/2009/9/main" objectType="CheckBox" fmlaLink="$AU$77" lockText="1" noThreeD="1"/>
</file>

<file path=xl/ctrlProps/ctrlProp38.xml><?xml version="1.0" encoding="utf-8"?>
<formControlPr xmlns="http://schemas.microsoft.com/office/spreadsheetml/2009/9/main" objectType="CheckBox" fmlaLink="$AU$116" lockText="1" noThreeD="1"/>
</file>

<file path=xl/ctrlProps/ctrlProp39.xml><?xml version="1.0" encoding="utf-8"?>
<formControlPr xmlns="http://schemas.microsoft.com/office/spreadsheetml/2009/9/main" objectType="CheckBox" fmlaLink="$AU$35" noThreeD="1"/>
</file>

<file path=xl/ctrlProps/ctrlProp4.xml><?xml version="1.0" encoding="utf-8"?>
<formControlPr xmlns="http://schemas.microsoft.com/office/spreadsheetml/2009/9/main" objectType="CheckBox" fmlaLink="M24" lockText="1" noThreeD="1"/>
</file>

<file path=xl/ctrlProps/ctrlProp40.xml><?xml version="1.0" encoding="utf-8"?>
<formControlPr xmlns="http://schemas.microsoft.com/office/spreadsheetml/2009/9/main" objectType="CheckBox" fmlaLink="$AU$41" lockText="1" noThreeD="1"/>
</file>

<file path=xl/ctrlProps/ctrlProp41.xml><?xml version="1.0" encoding="utf-8"?>
<formControlPr xmlns="http://schemas.microsoft.com/office/spreadsheetml/2009/9/main" objectType="CheckBox" fmlaLink="$AU$44" lockText="1" noThreeD="1"/>
</file>

<file path=xl/ctrlProps/ctrlProp42.xml><?xml version="1.0" encoding="utf-8"?>
<formControlPr xmlns="http://schemas.microsoft.com/office/spreadsheetml/2009/9/main" objectType="CheckBox" fmlaLink="$AU$51" lockText="1" noThreeD="1"/>
</file>

<file path=xl/ctrlProps/ctrlProp43.xml><?xml version="1.0" encoding="utf-8"?>
<formControlPr xmlns="http://schemas.microsoft.com/office/spreadsheetml/2009/9/main" objectType="CheckBox" fmlaLink="$AU$55" lockText="1" noThreeD="1"/>
</file>

<file path=xl/ctrlProps/ctrlProp44.xml><?xml version="1.0" encoding="utf-8"?>
<formControlPr xmlns="http://schemas.microsoft.com/office/spreadsheetml/2009/9/main" objectType="CheckBox" fmlaLink="$AU$58" lockText="1" noThreeD="1"/>
</file>

<file path=xl/ctrlProps/ctrlProp45.xml><?xml version="1.0" encoding="utf-8"?>
<formControlPr xmlns="http://schemas.microsoft.com/office/spreadsheetml/2009/9/main" objectType="CheckBox" fmlaLink="$AU$61" lockText="1" noThreeD="1"/>
</file>

<file path=xl/ctrlProps/ctrlProp46.xml><?xml version="1.0" encoding="utf-8"?>
<formControlPr xmlns="http://schemas.microsoft.com/office/spreadsheetml/2009/9/main" objectType="CheckBox" fmlaLink="$AU$74" lockText="1" noThreeD="1"/>
</file>

<file path=xl/ctrlProps/ctrlProp47.xml><?xml version="1.0" encoding="utf-8"?>
<formControlPr xmlns="http://schemas.microsoft.com/office/spreadsheetml/2009/9/main" objectType="CheckBox" fmlaLink="$AU$77" lockText="1" noThreeD="1"/>
</file>

<file path=xl/ctrlProps/ctrlProp48.xml><?xml version="1.0" encoding="utf-8"?>
<formControlPr xmlns="http://schemas.microsoft.com/office/spreadsheetml/2009/9/main" objectType="CheckBox" fmlaLink="$AU$81" lockText="1" noThreeD="1"/>
</file>

<file path=xl/ctrlProps/ctrlProp49.xml><?xml version="1.0" encoding="utf-8"?>
<formControlPr xmlns="http://schemas.microsoft.com/office/spreadsheetml/2009/9/main" objectType="CheckBox" fmlaLink="$AU$86" lockText="1" noThreeD="1"/>
</file>

<file path=xl/ctrlProps/ctrlProp5.xml><?xml version="1.0" encoding="utf-8"?>
<formControlPr xmlns="http://schemas.microsoft.com/office/spreadsheetml/2009/9/main" objectType="CheckBox" fmlaLink="$L$31" lockText="1" noThreeD="1"/>
</file>

<file path=xl/ctrlProps/ctrlProp50.xml><?xml version="1.0" encoding="utf-8"?>
<formControlPr xmlns="http://schemas.microsoft.com/office/spreadsheetml/2009/9/main" objectType="CheckBox" fmlaLink="$AU$91" lockText="1" noThreeD="1"/>
</file>

<file path=xl/ctrlProps/ctrlProp51.xml><?xml version="1.0" encoding="utf-8"?>
<formControlPr xmlns="http://schemas.microsoft.com/office/spreadsheetml/2009/9/main" objectType="CheckBox" fmlaLink="$AU$95" lockText="1" noThreeD="1"/>
</file>

<file path=xl/ctrlProps/ctrlProp52.xml><?xml version="1.0" encoding="utf-8"?>
<formControlPr xmlns="http://schemas.microsoft.com/office/spreadsheetml/2009/9/main" objectType="CheckBox" fmlaLink="$AU$100" lockText="1" noThreeD="1"/>
</file>

<file path=xl/ctrlProps/ctrlProp53.xml><?xml version="1.0" encoding="utf-8"?>
<formControlPr xmlns="http://schemas.microsoft.com/office/spreadsheetml/2009/9/main" objectType="CheckBox" fmlaLink="$AU$104" lockText="1" noThreeD="1"/>
</file>

<file path=xl/ctrlProps/ctrlProp54.xml><?xml version="1.0" encoding="utf-8"?>
<formControlPr xmlns="http://schemas.microsoft.com/office/spreadsheetml/2009/9/main" objectType="CheckBox" fmlaLink="$AU$107" lockText="1" noThreeD="1"/>
</file>

<file path=xl/ctrlProps/ctrlProp55.xml><?xml version="1.0" encoding="utf-8"?>
<formControlPr xmlns="http://schemas.microsoft.com/office/spreadsheetml/2009/9/main" objectType="CheckBox" fmlaLink="$AU$38" lockText="1" noThreeD="1"/>
</file>

<file path=xl/ctrlProps/ctrlProp56.xml><?xml version="1.0" encoding="utf-8"?>
<formControlPr xmlns="http://schemas.microsoft.com/office/spreadsheetml/2009/9/main" objectType="CheckBox" fmlaLink="$AU$29" noThreeD="1"/>
</file>

<file path=xl/ctrlProps/ctrlProp57.xml><?xml version="1.0" encoding="utf-8"?>
<formControlPr xmlns="http://schemas.microsoft.com/office/spreadsheetml/2009/9/main" objectType="CheckBox" fmlaLink="$AU$47"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M$34"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26"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M$29" lockText="1" noThreeD="1"/>
</file>

<file path=xl/ctrlProps/ctrlProp9.xml><?xml version="1.0" encoding="utf-8"?>
<formControlPr xmlns="http://schemas.microsoft.com/office/spreadsheetml/2009/9/main" objectType="CheckBox" fmlaLink="$M$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17</xdr:row>
          <xdr:rowOff>28575</xdr:rowOff>
        </xdr:from>
        <xdr:to>
          <xdr:col>3</xdr:col>
          <xdr:colOff>38100</xdr:colOff>
          <xdr:row>18</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18</xdr:row>
          <xdr:rowOff>9525</xdr:rowOff>
        </xdr:from>
        <xdr:to>
          <xdr:col>5</xdr:col>
          <xdr:colOff>66675</xdr:colOff>
          <xdr:row>18</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28575</xdr:rowOff>
        </xdr:from>
        <xdr:to>
          <xdr:col>3</xdr:col>
          <xdr:colOff>38100</xdr:colOff>
          <xdr:row>23</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9525</xdr:rowOff>
        </xdr:from>
        <xdr:to>
          <xdr:col>5</xdr:col>
          <xdr:colOff>66675</xdr:colOff>
          <xdr:row>23</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28575</xdr:rowOff>
        </xdr:from>
        <xdr:to>
          <xdr:col>3</xdr:col>
          <xdr:colOff>38100</xdr:colOff>
          <xdr:row>33</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9525</xdr:rowOff>
        </xdr:from>
        <xdr:to>
          <xdr:col>5</xdr:col>
          <xdr:colOff>66675</xdr:colOff>
          <xdr:row>33</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28575</xdr:rowOff>
        </xdr:from>
        <xdr:to>
          <xdr:col>3</xdr:col>
          <xdr:colOff>38100</xdr:colOff>
          <xdr:row>28</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9525</xdr:rowOff>
        </xdr:from>
        <xdr:to>
          <xdr:col>5</xdr:col>
          <xdr:colOff>66675</xdr:colOff>
          <xdr:row>28</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9525</xdr:rowOff>
        </xdr:from>
        <xdr:to>
          <xdr:col>5</xdr:col>
          <xdr:colOff>66675</xdr:colOff>
          <xdr:row>19</xdr:row>
          <xdr:rowOff>190500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9525</xdr:rowOff>
        </xdr:from>
        <xdr:to>
          <xdr:col>5</xdr:col>
          <xdr:colOff>66675</xdr:colOff>
          <xdr:row>24</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0</xdr:rowOff>
        </xdr:from>
        <xdr:to>
          <xdr:col>5</xdr:col>
          <xdr:colOff>66675</xdr:colOff>
          <xdr:row>34</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28575</xdr:rowOff>
        </xdr:from>
        <xdr:to>
          <xdr:col>7</xdr:col>
          <xdr:colOff>85725</xdr:colOff>
          <xdr:row>31</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19050</xdr:rowOff>
        </xdr:from>
        <xdr:to>
          <xdr:col>7</xdr:col>
          <xdr:colOff>76200</xdr:colOff>
          <xdr:row>32</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0</xdr:rowOff>
        </xdr:from>
        <xdr:to>
          <xdr:col>5</xdr:col>
          <xdr:colOff>66675</xdr:colOff>
          <xdr:row>32</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66675</xdr:colOff>
          <xdr:row>78</xdr:row>
          <xdr:rowOff>123825</xdr:rowOff>
        </xdr:from>
        <xdr:to>
          <xdr:col>44</xdr:col>
          <xdr:colOff>104775</xdr:colOff>
          <xdr:row>80</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81</xdr:row>
          <xdr:rowOff>123825</xdr:rowOff>
        </xdr:from>
        <xdr:to>
          <xdr:col>44</xdr:col>
          <xdr:colOff>104775</xdr:colOff>
          <xdr:row>82</xdr:row>
          <xdr:rowOff>133350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81</xdr:row>
          <xdr:rowOff>123825</xdr:rowOff>
        </xdr:from>
        <xdr:to>
          <xdr:col>44</xdr:col>
          <xdr:colOff>104775</xdr:colOff>
          <xdr:row>82</xdr:row>
          <xdr:rowOff>133350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84</xdr:row>
          <xdr:rowOff>123825</xdr:rowOff>
        </xdr:from>
        <xdr:to>
          <xdr:col>44</xdr:col>
          <xdr:colOff>104775</xdr:colOff>
          <xdr:row>86</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87</xdr:row>
          <xdr:rowOff>123825</xdr:rowOff>
        </xdr:from>
        <xdr:to>
          <xdr:col>44</xdr:col>
          <xdr:colOff>104775</xdr:colOff>
          <xdr:row>89</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90</xdr:row>
          <xdr:rowOff>123825</xdr:rowOff>
        </xdr:from>
        <xdr:to>
          <xdr:col>44</xdr:col>
          <xdr:colOff>104775</xdr:colOff>
          <xdr:row>92</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94</xdr:row>
          <xdr:rowOff>85725</xdr:rowOff>
        </xdr:from>
        <xdr:to>
          <xdr:col>44</xdr:col>
          <xdr:colOff>104775</xdr:colOff>
          <xdr:row>95</xdr:row>
          <xdr:rowOff>123825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100</xdr:row>
          <xdr:rowOff>19050</xdr:rowOff>
        </xdr:from>
        <xdr:to>
          <xdr:col>44</xdr:col>
          <xdr:colOff>104775</xdr:colOff>
          <xdr:row>100</xdr:row>
          <xdr:rowOff>209550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103</xdr:row>
          <xdr:rowOff>123825</xdr:rowOff>
        </xdr:from>
        <xdr:to>
          <xdr:col>44</xdr:col>
          <xdr:colOff>104775</xdr:colOff>
          <xdr:row>105</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111</xdr:row>
          <xdr:rowOff>161925</xdr:rowOff>
        </xdr:from>
        <xdr:to>
          <xdr:col>44</xdr:col>
          <xdr:colOff>85725</xdr:colOff>
          <xdr:row>112</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128</xdr:row>
          <xdr:rowOff>123825</xdr:rowOff>
        </xdr:from>
        <xdr:to>
          <xdr:col>44</xdr:col>
          <xdr:colOff>104775</xdr:colOff>
          <xdr:row>130</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131</xdr:row>
          <xdr:rowOff>123825</xdr:rowOff>
        </xdr:from>
        <xdr:to>
          <xdr:col>44</xdr:col>
          <xdr:colOff>104775</xdr:colOff>
          <xdr:row>133</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134</xdr:row>
          <xdr:rowOff>123825</xdr:rowOff>
        </xdr:from>
        <xdr:to>
          <xdr:col>44</xdr:col>
          <xdr:colOff>104775</xdr:colOff>
          <xdr:row>136</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149</xdr:row>
          <xdr:rowOff>123825</xdr:rowOff>
        </xdr:from>
        <xdr:to>
          <xdr:col>44</xdr:col>
          <xdr:colOff>104775</xdr:colOff>
          <xdr:row>151</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155</xdr:row>
          <xdr:rowOff>123825</xdr:rowOff>
        </xdr:from>
        <xdr:to>
          <xdr:col>44</xdr:col>
          <xdr:colOff>104775</xdr:colOff>
          <xdr:row>157</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137</xdr:row>
          <xdr:rowOff>123825</xdr:rowOff>
        </xdr:from>
        <xdr:to>
          <xdr:col>44</xdr:col>
          <xdr:colOff>104775</xdr:colOff>
          <xdr:row>138</xdr:row>
          <xdr:rowOff>152400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140</xdr:row>
          <xdr:rowOff>123825</xdr:rowOff>
        </xdr:from>
        <xdr:to>
          <xdr:col>44</xdr:col>
          <xdr:colOff>104775</xdr:colOff>
          <xdr:row>141</xdr:row>
          <xdr:rowOff>152400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143</xdr:row>
          <xdr:rowOff>123825</xdr:rowOff>
        </xdr:from>
        <xdr:to>
          <xdr:col>44</xdr:col>
          <xdr:colOff>104775</xdr:colOff>
          <xdr:row>144</xdr:row>
          <xdr:rowOff>152400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146</xdr:row>
          <xdr:rowOff>123825</xdr:rowOff>
        </xdr:from>
        <xdr:to>
          <xdr:col>44</xdr:col>
          <xdr:colOff>104775</xdr:colOff>
          <xdr:row>147</xdr:row>
          <xdr:rowOff>152400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152</xdr:row>
          <xdr:rowOff>123825</xdr:rowOff>
        </xdr:from>
        <xdr:to>
          <xdr:col>44</xdr:col>
          <xdr:colOff>104775</xdr:colOff>
          <xdr:row>153</xdr:row>
          <xdr:rowOff>152400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106</xdr:row>
          <xdr:rowOff>123825</xdr:rowOff>
        </xdr:from>
        <xdr:to>
          <xdr:col>44</xdr:col>
          <xdr:colOff>104775</xdr:colOff>
          <xdr:row>108</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71</xdr:row>
          <xdr:rowOff>123825</xdr:rowOff>
        </xdr:from>
        <xdr:to>
          <xdr:col>44</xdr:col>
          <xdr:colOff>104775</xdr:colOff>
          <xdr:row>73</xdr:row>
          <xdr:rowOff>47625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75</xdr:row>
          <xdr:rowOff>47625</xdr:rowOff>
        </xdr:from>
        <xdr:to>
          <xdr:col>44</xdr:col>
          <xdr:colOff>104775</xdr:colOff>
          <xdr:row>76</xdr:row>
          <xdr:rowOff>133350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116</xdr:row>
          <xdr:rowOff>180975</xdr:rowOff>
        </xdr:from>
        <xdr:to>
          <xdr:col>44</xdr:col>
          <xdr:colOff>85725</xdr:colOff>
          <xdr:row>117</xdr:row>
          <xdr:rowOff>66675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1347952</xdr:colOff>
      <xdr:row>0</xdr:row>
      <xdr:rowOff>41413</xdr:rowOff>
    </xdr:from>
    <xdr:to>
      <xdr:col>21</xdr:col>
      <xdr:colOff>208593</xdr:colOff>
      <xdr:row>21</xdr:row>
      <xdr:rowOff>16565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9368002" y="41413"/>
          <a:ext cx="8909516" cy="4585252"/>
        </a:xfrm>
        <a:prstGeom prst="rect">
          <a:avLst/>
        </a:prstGeom>
        <a:solidFill>
          <a:schemeClr val="bg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u="none">
              <a:solidFill>
                <a:srgbClr val="FF0000"/>
              </a:solidFill>
            </a:rPr>
            <a:t>以下の内容を必ずご確認の上、入力してください。</a:t>
          </a:r>
          <a:endParaRPr kumimoji="1" lang="en-US" altLang="ja-JP" sz="1200" b="1" u="none">
            <a:solidFill>
              <a:srgbClr val="FF0000"/>
            </a:solidFill>
          </a:endParaRPr>
        </a:p>
        <a:p>
          <a:pPr algn="l"/>
          <a:r>
            <a:rPr kumimoji="1" lang="ja-JP" altLang="en-US" sz="1000" b="1" u="sng">
              <a:solidFill>
                <a:sysClr val="windowText" lastClr="000000"/>
              </a:solidFill>
            </a:rPr>
            <a:t>≪入力方法について≫</a:t>
          </a:r>
          <a:endParaRPr kumimoji="1" lang="en-US" altLang="ja-JP" sz="1000" b="1" u="sng">
            <a:solidFill>
              <a:sysClr val="windowText" lastClr="000000"/>
            </a:solidFill>
          </a:endParaRPr>
        </a:p>
        <a:p>
          <a:pPr algn="l"/>
          <a:r>
            <a:rPr kumimoji="1" lang="ja-JP" altLang="en-US" sz="1000">
              <a:solidFill>
                <a:sysClr val="windowText" lastClr="000000"/>
              </a:solidFill>
            </a:rPr>
            <a:t>・登録申請する製品の納品実績を入力してください。</a:t>
          </a:r>
          <a:endParaRPr kumimoji="1" lang="en-US" altLang="ja-JP" sz="1000">
            <a:solidFill>
              <a:sysClr val="windowText" lastClr="000000"/>
            </a:solidFill>
          </a:endParaRPr>
        </a:p>
        <a:p>
          <a:pPr algn="l"/>
          <a:r>
            <a:rPr kumimoji="1" lang="ja-JP" altLang="en-US" sz="1000">
              <a:solidFill>
                <a:sysClr val="windowText" lastClr="000000"/>
              </a:solidFill>
            </a:rPr>
            <a:t>・納入先種別を「直販（最終ユーザー）」または「中間卸売事業者」のいずれかを選択し、その実績を入力してください。</a:t>
          </a:r>
          <a:br>
            <a:rPr kumimoji="1" lang="en-US" altLang="ja-JP" sz="1000">
              <a:solidFill>
                <a:sysClr val="windowText" lastClr="000000"/>
              </a:solidFill>
            </a:rPr>
          </a:br>
          <a:r>
            <a:rPr kumimoji="1" lang="ja-JP" altLang="en-US" sz="1000">
              <a:solidFill>
                <a:sysClr val="windowText" lastClr="000000"/>
              </a:solidFill>
            </a:rPr>
            <a:t>　納入先が「直販」および「中間卸売事業者」の双方ある場合は、「中間卸売事業者」を選択</a:t>
          </a:r>
        </a:p>
        <a:p>
          <a:pPr algn="l"/>
          <a:r>
            <a:rPr kumimoji="1" lang="ja-JP" altLang="en-US" sz="1000">
              <a:solidFill>
                <a:sysClr val="windowText" lastClr="000000"/>
              </a:solidFill>
            </a:rPr>
            <a:t>・省力化製品として申請する本体機器のみの納品金額を入力してください。</a:t>
          </a:r>
          <a:endParaRPr kumimoji="1" lang="en-US" altLang="ja-JP" sz="1000">
            <a:solidFill>
              <a:sysClr val="windowText" lastClr="000000"/>
            </a:solidFill>
          </a:endParaRPr>
        </a:p>
        <a:p>
          <a:pPr algn="l"/>
          <a:r>
            <a:rPr kumimoji="1" lang="ja-JP" altLang="en-US" sz="1000">
              <a:solidFill>
                <a:sysClr val="windowText" lastClr="000000"/>
              </a:solidFill>
            </a:rPr>
            <a:t>・納品実績は税抜で製品のみの金額を入力してください。（設置費用などは含めないでください）</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b="1">
              <a:solidFill>
                <a:sysClr val="windowText" lastClr="000000"/>
              </a:solidFill>
            </a:rPr>
            <a:t>（１）販売方法が「直販（最終ユーザー）」のみの場合</a:t>
          </a:r>
          <a:br>
            <a:rPr kumimoji="1" lang="ja-JP" altLang="en-US" sz="1000">
              <a:solidFill>
                <a:sysClr val="windowText" lastClr="000000"/>
              </a:solidFill>
            </a:rPr>
          </a:br>
          <a:r>
            <a:rPr kumimoji="1" lang="ja-JP" altLang="en-US" sz="1000">
              <a:solidFill>
                <a:sysClr val="windowText" lastClr="000000"/>
              </a:solidFill>
            </a:rPr>
            <a:t>　直近で販売された５社以上の納品実績を入力してください。販売実績が５社未満の製品は申請できません。</a:t>
          </a:r>
          <a:endParaRPr kumimoji="1" lang="en-US" altLang="ja-JP" sz="1000">
            <a:solidFill>
              <a:sysClr val="windowText" lastClr="000000"/>
            </a:solidFill>
          </a:endParaRPr>
        </a:p>
        <a:p>
          <a:pPr algn="l"/>
          <a:r>
            <a:rPr kumimoji="1" lang="ja-JP" altLang="en-US" sz="1000" b="1">
              <a:solidFill>
                <a:sysClr val="windowText" lastClr="000000"/>
              </a:solidFill>
            </a:rPr>
            <a:t>（２）「販売店等の中間卸売事業者」のみに販売している場合</a:t>
          </a:r>
          <a:br>
            <a:rPr kumimoji="1" lang="ja-JP" altLang="en-US" sz="1000">
              <a:solidFill>
                <a:sysClr val="windowText" lastClr="000000"/>
              </a:solidFill>
            </a:rPr>
          </a:br>
          <a:r>
            <a:rPr kumimoji="1" lang="ja-JP" altLang="en-US" sz="1000">
              <a:solidFill>
                <a:sysClr val="windowText" lastClr="000000"/>
              </a:solidFill>
            </a:rPr>
            <a:t>　直近で販売店等の中間卸売事業者に販売された５社以上の納品実績を入力してください。販売実績が５社未満の製品は申請できません。</a:t>
          </a:r>
          <a:endParaRPr kumimoji="1" lang="en-US" altLang="ja-JP" sz="1000">
            <a:solidFill>
              <a:sysClr val="windowText" lastClr="000000"/>
            </a:solidFill>
          </a:endParaRPr>
        </a:p>
        <a:p>
          <a:pPr algn="l"/>
          <a:r>
            <a:rPr kumimoji="1" lang="ja-JP" altLang="en-US" sz="1000" b="1">
              <a:solidFill>
                <a:sysClr val="windowText" lastClr="000000"/>
              </a:solidFill>
            </a:rPr>
            <a:t>（３）「直販（最終ユーザー）」と「販売店等の中間卸売事業者」の両方に販売を行っている場合</a:t>
          </a:r>
          <a:br>
            <a:rPr kumimoji="1" lang="ja-JP" altLang="en-US" sz="1000">
              <a:solidFill>
                <a:sysClr val="windowText" lastClr="000000"/>
              </a:solidFill>
            </a:rPr>
          </a:br>
          <a:r>
            <a:rPr kumimoji="1" lang="ja-JP" altLang="en-US" sz="1000">
              <a:solidFill>
                <a:sysClr val="windowText" lastClr="000000"/>
              </a:solidFill>
            </a:rPr>
            <a:t>　</a:t>
          </a:r>
          <a:r>
            <a:rPr kumimoji="1" lang="ja-JP" altLang="en-US" sz="1000" u="sng">
              <a:solidFill>
                <a:sysClr val="windowText" lastClr="000000"/>
              </a:solidFill>
            </a:rPr>
            <a:t>販売店等の中間卸売事業者の実績を入力してください</a:t>
          </a:r>
          <a:r>
            <a:rPr kumimoji="1" lang="ja-JP" altLang="en-US" sz="1000">
              <a:solidFill>
                <a:sysClr val="windowText" lastClr="000000"/>
              </a:solidFill>
            </a:rPr>
            <a:t>。実績が５社に満たさない場合のみ、直販の実績を入力して構いません。</a:t>
          </a:r>
          <a:endParaRPr kumimoji="1" lang="en-US" altLang="ja-JP" sz="1000">
            <a:solidFill>
              <a:sysClr val="windowText" lastClr="000000"/>
            </a:solidFill>
          </a:endParaRPr>
        </a:p>
        <a:p>
          <a:pPr algn="l"/>
          <a:r>
            <a:rPr kumimoji="1" lang="ja-JP" altLang="en-US" sz="1000">
              <a:solidFill>
                <a:sysClr val="windowText" lastClr="000000"/>
              </a:solidFill>
            </a:rPr>
            <a:t>　ただし、いずれの実績も５社未満の場合は申請できません。</a:t>
          </a:r>
          <a:endParaRPr kumimoji="1" lang="en-US" altLang="ja-JP" sz="1000">
            <a:solidFill>
              <a:sysClr val="windowText" lastClr="000000"/>
            </a:solidFill>
          </a:endParaRPr>
        </a:p>
        <a:p>
          <a:pPr algn="l"/>
          <a:endParaRPr kumimoji="1" lang="en-US" altLang="ja-JP" sz="3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なお、（１）</a:t>
          </a:r>
          <a:r>
            <a:rPr kumimoji="1" lang="en-US" altLang="ja-JP" sz="1000">
              <a:solidFill>
                <a:sysClr val="windowText" lastClr="000000"/>
              </a:solidFill>
            </a:rPr>
            <a:t>〜</a:t>
          </a:r>
          <a:r>
            <a:rPr kumimoji="1" lang="ja-JP" altLang="en-US" sz="1000">
              <a:solidFill>
                <a:sysClr val="windowText" lastClr="000000"/>
              </a:solidFill>
            </a:rPr>
            <a:t>（３）において、販売実績が５社以上の場合は、直近１か月間の実績で可。</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b="1" u="sng">
              <a:solidFill>
                <a:sysClr val="windowText" lastClr="000000"/>
              </a:solidFill>
            </a:rPr>
            <a:t>≪その他の注意事項≫</a:t>
          </a:r>
          <a:endParaRPr kumimoji="1" lang="en-US" altLang="ja-JP" sz="1000" b="1" u="sng">
            <a:solidFill>
              <a:sysClr val="windowText" lastClr="000000"/>
            </a:solidFill>
          </a:endParaRPr>
        </a:p>
        <a:p>
          <a:pPr algn="l"/>
          <a:r>
            <a:rPr kumimoji="1" lang="ja-JP" altLang="en-US" sz="1000" b="0" u="none">
              <a:solidFill>
                <a:sysClr val="windowText" lastClr="000000"/>
              </a:solidFill>
            </a:rPr>
            <a:t>・１社に対して、同じ日に複数台納入した場合には、１台当たりの平均額を記載してください。</a:t>
          </a:r>
          <a:endParaRPr kumimoji="1" lang="en-US" altLang="ja-JP" sz="1000" b="0" u="none">
            <a:solidFill>
              <a:sysClr val="windowText" lastClr="000000"/>
            </a:solidFill>
          </a:endParaRPr>
        </a:p>
        <a:p>
          <a:pPr algn="l"/>
          <a:r>
            <a:rPr kumimoji="1" lang="ja-JP" altLang="en-US" sz="1000" b="0" u="none">
              <a:solidFill>
                <a:sysClr val="windowText" lastClr="000000"/>
              </a:solidFill>
            </a:rPr>
            <a:t>・後日、事務局より、納品実績の申告が正しい申告であったかを個別にサンプル調査する場合があります。</a:t>
          </a:r>
          <a:endParaRPr kumimoji="1" lang="en-US" altLang="ja-JP" sz="1000" b="0" u="none">
            <a:solidFill>
              <a:sysClr val="windowText" lastClr="000000"/>
            </a:solidFill>
          </a:endParaRPr>
        </a:p>
        <a:p>
          <a:pPr algn="l"/>
          <a:r>
            <a:rPr kumimoji="1" lang="ja-JP" altLang="en-US" sz="1000" b="0" u="none">
              <a:solidFill>
                <a:sysClr val="windowText" lastClr="000000"/>
              </a:solidFill>
            </a:rPr>
            <a:t>　その際に、正しい申告でなかったことが確認された場合、製品及び製造事業者登録の取消措置や当該製品及び当該製造事業</a:t>
          </a:r>
          <a:endParaRPr kumimoji="1" lang="en-US" altLang="ja-JP" sz="1000" b="0" u="none">
            <a:solidFill>
              <a:sysClr val="windowText" lastClr="000000"/>
            </a:solidFill>
          </a:endParaRPr>
        </a:p>
        <a:p>
          <a:pPr algn="l"/>
          <a:r>
            <a:rPr kumimoji="1" lang="ja-JP" altLang="en-US" sz="1000" b="0" u="none">
              <a:solidFill>
                <a:sysClr val="windowText" lastClr="000000"/>
              </a:solidFill>
            </a:rPr>
            <a:t>　者に関する交付決定の取消を</a:t>
          </a:r>
          <a:r>
            <a:rPr kumimoji="1" lang="ja-JP" altLang="en-US" sz="1000" b="0" u="none" strike="noStrike" baseline="0">
              <a:solidFill>
                <a:sysClr val="windowText" lastClr="000000"/>
              </a:solidFill>
            </a:rPr>
            <a:t>する</a:t>
          </a:r>
          <a:r>
            <a:rPr kumimoji="1" lang="ja-JP" altLang="en-US" sz="1000" b="0" u="none">
              <a:solidFill>
                <a:sysClr val="windowText" lastClr="000000"/>
              </a:solidFill>
            </a:rPr>
            <a:t>場合がありますので、予めご留意ください。</a:t>
          </a:r>
          <a:endParaRPr kumimoji="1" lang="en-US" altLang="ja-JP" sz="1000" b="0" u="none">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66675</xdr:colOff>
          <xdr:row>34</xdr:row>
          <xdr:rowOff>9525</xdr:rowOff>
        </xdr:from>
        <xdr:to>
          <xdr:col>44</xdr:col>
          <xdr:colOff>114300</xdr:colOff>
          <xdr:row>35</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39</xdr:row>
          <xdr:rowOff>123825</xdr:rowOff>
        </xdr:from>
        <xdr:to>
          <xdr:col>44</xdr:col>
          <xdr:colOff>104775</xdr:colOff>
          <xdr:row>40</xdr:row>
          <xdr:rowOff>152400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42</xdr:row>
          <xdr:rowOff>123825</xdr:rowOff>
        </xdr:from>
        <xdr:to>
          <xdr:col>44</xdr:col>
          <xdr:colOff>104775</xdr:colOff>
          <xdr:row>43</xdr:row>
          <xdr:rowOff>142875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49</xdr:row>
          <xdr:rowOff>152400</xdr:rowOff>
        </xdr:from>
        <xdr:to>
          <xdr:col>44</xdr:col>
          <xdr:colOff>104775</xdr:colOff>
          <xdr:row>51</xdr:row>
          <xdr:rowOff>28575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53</xdr:row>
          <xdr:rowOff>104775</xdr:rowOff>
        </xdr:from>
        <xdr:to>
          <xdr:col>44</xdr:col>
          <xdr:colOff>104775</xdr:colOff>
          <xdr:row>54</xdr:row>
          <xdr:rowOff>142875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56</xdr:row>
          <xdr:rowOff>123825</xdr:rowOff>
        </xdr:from>
        <xdr:to>
          <xdr:col>44</xdr:col>
          <xdr:colOff>104775</xdr:colOff>
          <xdr:row>57</xdr:row>
          <xdr:rowOff>152400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60</xdr:row>
          <xdr:rowOff>9525</xdr:rowOff>
        </xdr:from>
        <xdr:to>
          <xdr:col>44</xdr:col>
          <xdr:colOff>104775</xdr:colOff>
          <xdr:row>61</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72</xdr:row>
          <xdr:rowOff>123825</xdr:rowOff>
        </xdr:from>
        <xdr:to>
          <xdr:col>44</xdr:col>
          <xdr:colOff>104775</xdr:colOff>
          <xdr:row>74</xdr:row>
          <xdr:rowOff>28575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75</xdr:row>
          <xdr:rowOff>123825</xdr:rowOff>
        </xdr:from>
        <xdr:to>
          <xdr:col>44</xdr:col>
          <xdr:colOff>104775</xdr:colOff>
          <xdr:row>77</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80</xdr:row>
          <xdr:rowOff>104775</xdr:rowOff>
        </xdr:from>
        <xdr:to>
          <xdr:col>44</xdr:col>
          <xdr:colOff>123825</xdr:colOff>
          <xdr:row>80</xdr:row>
          <xdr:rowOff>371475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84</xdr:row>
          <xdr:rowOff>114300</xdr:rowOff>
        </xdr:from>
        <xdr:to>
          <xdr:col>44</xdr:col>
          <xdr:colOff>104775</xdr:colOff>
          <xdr:row>86</xdr:row>
          <xdr:rowOff>28575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89</xdr:row>
          <xdr:rowOff>123825</xdr:rowOff>
        </xdr:from>
        <xdr:to>
          <xdr:col>44</xdr:col>
          <xdr:colOff>104775</xdr:colOff>
          <xdr:row>91</xdr:row>
          <xdr:rowOff>28575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94</xdr:row>
          <xdr:rowOff>47625</xdr:rowOff>
        </xdr:from>
        <xdr:to>
          <xdr:col>44</xdr:col>
          <xdr:colOff>104775</xdr:colOff>
          <xdr:row>95</xdr:row>
          <xdr:rowOff>85725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98</xdr:row>
          <xdr:rowOff>114300</xdr:rowOff>
        </xdr:from>
        <xdr:to>
          <xdr:col>44</xdr:col>
          <xdr:colOff>104775</xdr:colOff>
          <xdr:row>99</xdr:row>
          <xdr:rowOff>152400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102</xdr:row>
          <xdr:rowOff>219075</xdr:rowOff>
        </xdr:from>
        <xdr:to>
          <xdr:col>44</xdr:col>
          <xdr:colOff>104775</xdr:colOff>
          <xdr:row>104</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105</xdr:row>
          <xdr:rowOff>180975</xdr:rowOff>
        </xdr:from>
        <xdr:to>
          <xdr:col>44</xdr:col>
          <xdr:colOff>104775</xdr:colOff>
          <xdr:row>107</xdr:row>
          <xdr:rowOff>9525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36</xdr:row>
          <xdr:rowOff>123825</xdr:rowOff>
        </xdr:from>
        <xdr:to>
          <xdr:col>44</xdr:col>
          <xdr:colOff>104775</xdr:colOff>
          <xdr:row>38</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66675</xdr:rowOff>
        </xdr:from>
        <xdr:to>
          <xdr:col>10</xdr:col>
          <xdr:colOff>85725</xdr:colOff>
          <xdr:row>28</xdr:row>
          <xdr:rowOff>104775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45</xdr:row>
          <xdr:rowOff>123825</xdr:rowOff>
        </xdr:from>
        <xdr:to>
          <xdr:col>44</xdr:col>
          <xdr:colOff>104775</xdr:colOff>
          <xdr:row>46</xdr:row>
          <xdr:rowOff>142875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3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12</xdr:row>
          <xdr:rowOff>123825</xdr:rowOff>
        </xdr:from>
        <xdr:to>
          <xdr:col>5</xdr:col>
          <xdr:colOff>9525</xdr:colOff>
          <xdr:row>14</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15</xdr:row>
          <xdr:rowOff>142875</xdr:rowOff>
        </xdr:from>
        <xdr:to>
          <xdr:col>5</xdr:col>
          <xdr:colOff>9525</xdr:colOff>
          <xdr:row>17</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32</xdr:row>
          <xdr:rowOff>66675</xdr:rowOff>
        </xdr:from>
        <xdr:to>
          <xdr:col>5</xdr:col>
          <xdr:colOff>9525</xdr:colOff>
          <xdr:row>33</xdr:row>
          <xdr:rowOff>104775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xdr:row>
          <xdr:rowOff>142875</xdr:rowOff>
        </xdr:from>
        <xdr:to>
          <xdr:col>5</xdr:col>
          <xdr:colOff>9525</xdr:colOff>
          <xdr:row>20</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39</xdr:row>
          <xdr:rowOff>66675</xdr:rowOff>
        </xdr:from>
        <xdr:to>
          <xdr:col>5</xdr:col>
          <xdr:colOff>9525</xdr:colOff>
          <xdr:row>40</xdr:row>
          <xdr:rowOff>104775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46</xdr:row>
          <xdr:rowOff>66675</xdr:rowOff>
        </xdr:from>
        <xdr:to>
          <xdr:col>5</xdr:col>
          <xdr:colOff>9525</xdr:colOff>
          <xdr:row>47</xdr:row>
          <xdr:rowOff>104775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22</xdr:row>
          <xdr:rowOff>47625</xdr:rowOff>
        </xdr:from>
        <xdr:to>
          <xdr:col>5</xdr:col>
          <xdr:colOff>28575</xdr:colOff>
          <xdr:row>23</xdr:row>
          <xdr:rowOff>104775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142875</xdr:rowOff>
        </xdr:from>
        <xdr:to>
          <xdr:col>5</xdr:col>
          <xdr:colOff>9525</xdr:colOff>
          <xdr:row>29</xdr:row>
          <xdr:rowOff>28575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66</xdr:row>
          <xdr:rowOff>123825</xdr:rowOff>
        </xdr:from>
        <xdr:to>
          <xdr:col>5</xdr:col>
          <xdr:colOff>9525</xdr:colOff>
          <xdr:row>68</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5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69</xdr:row>
          <xdr:rowOff>142875</xdr:rowOff>
        </xdr:from>
        <xdr:to>
          <xdr:col>5</xdr:col>
          <xdr:colOff>9525</xdr:colOff>
          <xdr:row>71</xdr:row>
          <xdr:rowOff>28575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5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72</xdr:row>
          <xdr:rowOff>142875</xdr:rowOff>
        </xdr:from>
        <xdr:to>
          <xdr:col>5</xdr:col>
          <xdr:colOff>9525</xdr:colOff>
          <xdr:row>74</xdr:row>
          <xdr:rowOff>28575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5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75</xdr:row>
          <xdr:rowOff>123825</xdr:rowOff>
        </xdr:from>
        <xdr:to>
          <xdr:col>5</xdr:col>
          <xdr:colOff>9525</xdr:colOff>
          <xdr:row>77</xdr:row>
          <xdr:rowOff>9525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5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78</xdr:row>
          <xdr:rowOff>142875</xdr:rowOff>
        </xdr:from>
        <xdr:to>
          <xdr:col>5</xdr:col>
          <xdr:colOff>9525</xdr:colOff>
          <xdr:row>80</xdr:row>
          <xdr:rowOff>28575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5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82</xdr:row>
          <xdr:rowOff>9525</xdr:rowOff>
        </xdr:from>
        <xdr:to>
          <xdr:col>5</xdr:col>
          <xdr:colOff>0</xdr:colOff>
          <xdr:row>83</xdr:row>
          <xdr:rowOff>47625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5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85</xdr:row>
          <xdr:rowOff>0</xdr:rowOff>
        </xdr:from>
        <xdr:to>
          <xdr:col>5</xdr:col>
          <xdr:colOff>9525</xdr:colOff>
          <xdr:row>86</xdr:row>
          <xdr:rowOff>38100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5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drawing" Target="../drawings/drawing4.xml"/><Relationship Id="rId21" Type="http://schemas.openxmlformats.org/officeDocument/2006/relationships/ctrlProp" Target="../ctrlProps/ctrlProp55.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printerSettings" Target="../printerSettings/printerSettings4.bin"/><Relationship Id="rId16" Type="http://schemas.openxmlformats.org/officeDocument/2006/relationships/ctrlProp" Target="../ctrlProps/ctrlProp50.xml"/><Relationship Id="rId20" Type="http://schemas.openxmlformats.org/officeDocument/2006/relationships/ctrlProp" Target="../ctrlProps/ctrlProp54.xml"/><Relationship Id="rId1" Type="http://schemas.openxmlformats.org/officeDocument/2006/relationships/hyperlink" Target="https://www.houjin-bangou.nta.go.jp/" TargetMode="External"/><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vmlDrawing" Target="../drawings/vmlDrawing3.v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4.v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5.xml"/><Relationship Id="rId16" Type="http://schemas.openxmlformats.org/officeDocument/2006/relationships/ctrlProp" Target="../ctrlProps/ctrlProp70.xml"/><Relationship Id="rId1" Type="http://schemas.openxmlformats.org/officeDocument/2006/relationships/printerSettings" Target="../printerSettings/printerSettings6.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F6C9-32FE-4694-90EF-5C028E9E3AE7}">
  <sheetPr codeName="Sheet1">
    <tabColor rgb="FFFFFF00"/>
    <pageSetUpPr fitToPage="1"/>
  </sheetPr>
  <dimension ref="A1:Q70"/>
  <sheetViews>
    <sheetView showGridLines="0" tabSelected="1" view="pageBreakPreview" zoomScale="115" zoomScaleNormal="100" zoomScaleSheetLayoutView="115" workbookViewId="0"/>
  </sheetViews>
  <sheetFormatPr defaultRowHeight="13.5" x14ac:dyDescent="0.15"/>
  <cols>
    <col min="1" max="1" width="5.375" customWidth="1"/>
    <col min="2" max="2" width="13.625" customWidth="1"/>
    <col min="3" max="3" width="3.5" customWidth="1"/>
    <col min="4" max="4" width="19" customWidth="1"/>
    <col min="5" max="5" width="3.125" customWidth="1"/>
    <col min="6" max="6" width="18" customWidth="1"/>
    <col min="7" max="7" width="3.125" customWidth="1"/>
    <col min="8" max="8" width="6.875" customWidth="1"/>
    <col min="9" max="9" width="12.625" customWidth="1"/>
    <col min="10" max="10" width="10.5" customWidth="1"/>
    <col min="11" max="11" width="5.375" customWidth="1"/>
    <col min="12" max="12" width="12.625" style="91" hidden="1" customWidth="1"/>
    <col min="13" max="16" width="9" style="91" hidden="1" customWidth="1"/>
  </cols>
  <sheetData>
    <row r="1" spans="1:17" x14ac:dyDescent="0.15">
      <c r="A1" t="str">
        <f>IF(審査結果サマリ!E4&lt;&gt;"","工業会審査管理番号：　" &amp;審査結果サマリ!C2,"")</f>
        <v/>
      </c>
      <c r="L1"/>
      <c r="M1"/>
      <c r="N1"/>
      <c r="O1"/>
      <c r="P1"/>
    </row>
    <row r="3" spans="1:17" ht="24" x14ac:dyDescent="0.15">
      <c r="A3" s="268" t="s">
        <v>207</v>
      </c>
      <c r="B3" s="268"/>
      <c r="C3" s="268"/>
      <c r="D3" s="268"/>
      <c r="E3" s="268"/>
      <c r="F3" s="268"/>
      <c r="G3" s="268"/>
      <c r="H3" s="268"/>
      <c r="I3" s="268"/>
      <c r="J3" s="268"/>
      <c r="K3" s="268"/>
    </row>
    <row r="4" spans="1:17" ht="14.25" thickBot="1" x14ac:dyDescent="0.2"/>
    <row r="5" spans="1:17" ht="20.25" customHeight="1" thickBot="1" x14ac:dyDescent="0.2">
      <c r="B5" s="11" t="s">
        <v>0</v>
      </c>
      <c r="C5" s="269"/>
      <c r="D5" s="270"/>
      <c r="E5" s="270"/>
      <c r="F5" s="270"/>
      <c r="G5" s="270"/>
      <c r="H5" s="270"/>
      <c r="I5" s="271"/>
    </row>
    <row r="6" spans="1:17" ht="20.25" customHeight="1" thickBot="1" x14ac:dyDescent="0.2">
      <c r="B6" s="11" t="s">
        <v>1</v>
      </c>
      <c r="C6" s="269"/>
      <c r="D6" s="270"/>
      <c r="E6" s="270"/>
      <c r="F6" s="270"/>
      <c r="G6" s="270"/>
      <c r="H6" s="270"/>
      <c r="I6" s="271"/>
    </row>
    <row r="8" spans="1:17" ht="39.75" customHeight="1" x14ac:dyDescent="0.15">
      <c r="B8" s="272" t="s">
        <v>208</v>
      </c>
      <c r="C8" s="272"/>
      <c r="D8" s="272"/>
      <c r="E8" s="272"/>
      <c r="F8" s="272"/>
      <c r="G8" s="272"/>
      <c r="H8" s="272"/>
      <c r="I8" s="272"/>
      <c r="J8" s="272"/>
    </row>
    <row r="10" spans="1:17" ht="17.25" x14ac:dyDescent="0.15">
      <c r="B10" s="17"/>
      <c r="C10" s="28" t="s">
        <v>2</v>
      </c>
      <c r="D10" s="28"/>
      <c r="E10" s="18"/>
      <c r="F10" s="18"/>
      <c r="G10" s="18"/>
      <c r="H10" s="18"/>
      <c r="I10" s="18"/>
      <c r="J10" s="19"/>
    </row>
    <row r="11" spans="1:17" x14ac:dyDescent="0.15">
      <c r="B11" s="20"/>
      <c r="J11" s="21"/>
    </row>
    <row r="12" spans="1:17" ht="14.25" thickBot="1" x14ac:dyDescent="0.2">
      <c r="B12" s="20"/>
      <c r="C12" s="92" t="s">
        <v>3</v>
      </c>
      <c r="D12" s="93"/>
      <c r="E12" s="273" t="s">
        <v>350</v>
      </c>
      <c r="F12" s="274"/>
      <c r="G12" s="274"/>
      <c r="H12" s="274"/>
      <c r="I12" s="275"/>
      <c r="J12" s="21"/>
    </row>
    <row r="13" spans="1:17" ht="14.25" thickBot="1" x14ac:dyDescent="0.2">
      <c r="B13" s="20"/>
      <c r="C13" s="241" t="s">
        <v>361</v>
      </c>
      <c r="D13" s="279"/>
      <c r="E13" s="276"/>
      <c r="F13" s="277"/>
      <c r="G13" s="277"/>
      <c r="H13" s="277"/>
      <c r="I13" s="278"/>
      <c r="J13" s="21"/>
    </row>
    <row r="14" spans="1:17" x14ac:dyDescent="0.15">
      <c r="B14" s="20"/>
      <c r="C14" s="94"/>
      <c r="D14" s="18"/>
      <c r="E14" s="153"/>
      <c r="F14" s="154"/>
      <c r="G14" s="154"/>
      <c r="H14" s="154"/>
      <c r="I14" s="154"/>
      <c r="J14" s="21"/>
      <c r="Q14" s="95" t="str">
        <f>IF(L17+L22+L32&gt;0,"","業種・業務領域のなかから、一つ以上を選択してください")</f>
        <v>業種・業務領域のなかから、一つ以上を選択してください</v>
      </c>
    </row>
    <row r="15" spans="1:17" ht="14.25" thickBot="1" x14ac:dyDescent="0.2">
      <c r="B15" s="20"/>
      <c r="C15" s="265" t="s">
        <v>4</v>
      </c>
      <c r="D15" s="266"/>
      <c r="E15" s="265" t="s">
        <v>5</v>
      </c>
      <c r="F15" s="267"/>
      <c r="G15" s="267"/>
      <c r="H15" s="267"/>
      <c r="I15" s="266"/>
      <c r="J15" s="21"/>
      <c r="L15" s="96" t="str">
        <f>L19&amp;L24&amp;L29&amp;L34</f>
        <v xml:space="preserve">                                    </v>
      </c>
      <c r="M15" s="96" t="s">
        <v>209</v>
      </c>
      <c r="N15" s="96"/>
      <c r="O15" s="96"/>
      <c r="P15" s="96"/>
    </row>
    <row r="16" spans="1:17" ht="15.75" customHeight="1" x14ac:dyDescent="0.15">
      <c r="B16" s="20"/>
      <c r="C16" s="228"/>
      <c r="D16" s="260" t="s">
        <v>351</v>
      </c>
      <c r="E16" s="97"/>
      <c r="F16" s="98" t="s">
        <v>162</v>
      </c>
      <c r="G16" s="99"/>
      <c r="H16" s="234" t="s">
        <v>188</v>
      </c>
      <c r="I16" s="235"/>
      <c r="J16" s="21"/>
      <c r="L16" s="141" t="b">
        <v>0</v>
      </c>
      <c r="M16" s="142" t="b">
        <v>0</v>
      </c>
      <c r="N16" s="142" t="b">
        <v>0</v>
      </c>
      <c r="O16" s="142" t="str">
        <f>IF(M16,F16,"")</f>
        <v/>
      </c>
      <c r="P16" s="143" t="str">
        <f>IF(N16,H16,"")</f>
        <v/>
      </c>
      <c r="Q16" s="95" t="str">
        <f>IF(L16,IF(L17&gt;0,"OK","業務領域を一つ以上選択してください。"),IF(L17=0,"OK","未選択の業種の場合、業務領域は選択できません。"))</f>
        <v>OK</v>
      </c>
    </row>
    <row r="17" spans="2:17" ht="15.75" customHeight="1" x14ac:dyDescent="0.15">
      <c r="B17" s="20"/>
      <c r="C17" s="229"/>
      <c r="D17" s="261"/>
      <c r="E17" s="100"/>
      <c r="F17" s="101" t="s">
        <v>168</v>
      </c>
      <c r="G17" s="41"/>
      <c r="H17" s="236" t="s">
        <v>193</v>
      </c>
      <c r="I17" s="237"/>
      <c r="J17" s="21"/>
      <c r="L17" s="144">
        <f>COUNTIF(M16:N20,TRUE)</f>
        <v>0</v>
      </c>
      <c r="M17" s="145" t="b">
        <v>0</v>
      </c>
      <c r="N17" s="145" t="b">
        <v>0</v>
      </c>
      <c r="O17" s="145" t="str">
        <f t="shared" ref="O17:O35" si="0">IF(M17,F17,"")</f>
        <v/>
      </c>
      <c r="P17" s="146" t="str">
        <f t="shared" ref="P17:P35" si="1">IF(N17,H17,"")</f>
        <v/>
      </c>
    </row>
    <row r="18" spans="2:17" ht="15.75" customHeight="1" x14ac:dyDescent="0.15">
      <c r="B18" s="20"/>
      <c r="C18" s="229"/>
      <c r="D18" s="261"/>
      <c r="E18" s="100"/>
      <c r="F18" s="101" t="s">
        <v>170</v>
      </c>
      <c r="G18" s="41"/>
      <c r="H18" s="236" t="s">
        <v>354</v>
      </c>
      <c r="I18" s="237"/>
      <c r="J18" s="21"/>
      <c r="L18" s="144" t="str">
        <f>IF(L16,D16,"")</f>
        <v/>
      </c>
      <c r="M18" s="145" t="b">
        <v>0</v>
      </c>
      <c r="N18" s="145" t="b">
        <v>0</v>
      </c>
      <c r="O18" s="145" t="str">
        <f t="shared" si="0"/>
        <v/>
      </c>
      <c r="P18" s="146" t="str">
        <f t="shared" si="1"/>
        <v/>
      </c>
    </row>
    <row r="19" spans="2:17" ht="15.75" customHeight="1" x14ac:dyDescent="0.15">
      <c r="B19" s="20"/>
      <c r="C19" s="229"/>
      <c r="D19" s="261"/>
      <c r="E19" s="100"/>
      <c r="F19" s="102" t="s">
        <v>179</v>
      </c>
      <c r="G19" s="41"/>
      <c r="H19" s="236"/>
      <c r="I19" s="237"/>
      <c r="J19" s="21"/>
      <c r="L19" s="144" t="str">
        <f>L18&amp;O16 &amp;" "&amp;O17 &amp;" "&amp;O18 &amp;" "&amp;O19 &amp;" "&amp;O20 &amp;" "&amp;P16 &amp;" "&amp;P17 &amp;" "&amp;P18 &amp;" "&amp;P19 &amp;" "&amp;P20</f>
        <v xml:space="preserve">         </v>
      </c>
      <c r="M19" s="145" t="b">
        <v>0</v>
      </c>
      <c r="N19" s="145" t="b">
        <v>0</v>
      </c>
      <c r="O19" s="145" t="str">
        <f t="shared" si="0"/>
        <v/>
      </c>
      <c r="P19" s="146" t="str">
        <f t="shared" si="1"/>
        <v/>
      </c>
    </row>
    <row r="20" spans="2:17" ht="15.75" customHeight="1" thickBot="1" x14ac:dyDescent="0.2">
      <c r="B20" s="20"/>
      <c r="C20" s="230"/>
      <c r="D20" s="262"/>
      <c r="E20" s="103"/>
      <c r="F20" s="150" t="s">
        <v>6</v>
      </c>
      <c r="G20" s="105"/>
      <c r="H20" s="238"/>
      <c r="I20" s="239"/>
      <c r="J20" s="21"/>
      <c r="L20" s="147"/>
      <c r="M20" s="148" t="b">
        <v>0</v>
      </c>
      <c r="N20" s="148" t="b">
        <v>0</v>
      </c>
      <c r="O20" s="148" t="str">
        <f t="shared" si="0"/>
        <v/>
      </c>
      <c r="P20" s="149" t="str">
        <f t="shared" si="1"/>
        <v/>
      </c>
    </row>
    <row r="21" spans="2:17" ht="15.75" customHeight="1" x14ac:dyDescent="0.15">
      <c r="B21" s="20"/>
      <c r="C21" s="228"/>
      <c r="D21" s="260" t="s">
        <v>352</v>
      </c>
      <c r="E21" s="97"/>
      <c r="F21" s="98" t="s">
        <v>162</v>
      </c>
      <c r="G21" s="99"/>
      <c r="H21" s="234" t="s">
        <v>188</v>
      </c>
      <c r="I21" s="235"/>
      <c r="J21" s="21"/>
      <c r="L21" s="141" t="b">
        <v>0</v>
      </c>
      <c r="M21" s="142" t="b">
        <v>0</v>
      </c>
      <c r="N21" s="142" t="b">
        <v>0</v>
      </c>
      <c r="O21" s="142" t="str">
        <f t="shared" si="0"/>
        <v/>
      </c>
      <c r="P21" s="143" t="str">
        <f t="shared" si="1"/>
        <v/>
      </c>
      <c r="Q21" s="95" t="str">
        <f>IF(L21,IF(L22&gt;0,"OK","業務領域を一つ以上選択してください。"),IF(L22=0,"OK","未選択の業種の場合、業務領域は選択できません。"))</f>
        <v>OK</v>
      </c>
    </row>
    <row r="22" spans="2:17" ht="15.75" customHeight="1" x14ac:dyDescent="0.15">
      <c r="B22" s="20"/>
      <c r="C22" s="229"/>
      <c r="D22" s="261"/>
      <c r="E22" s="100"/>
      <c r="F22" s="101" t="s">
        <v>168</v>
      </c>
      <c r="G22" s="41"/>
      <c r="H22" s="236" t="s">
        <v>193</v>
      </c>
      <c r="I22" s="237"/>
      <c r="J22" s="21"/>
      <c r="L22" s="144">
        <f>COUNTIF(M21:N25,TRUE)</f>
        <v>0</v>
      </c>
      <c r="M22" s="145" t="b">
        <v>0</v>
      </c>
      <c r="N22" s="145" t="b">
        <v>0</v>
      </c>
      <c r="O22" s="145" t="str">
        <f t="shared" si="0"/>
        <v/>
      </c>
      <c r="P22" s="146" t="str">
        <f t="shared" si="1"/>
        <v/>
      </c>
    </row>
    <row r="23" spans="2:17" ht="15.75" customHeight="1" x14ac:dyDescent="0.15">
      <c r="B23" s="20"/>
      <c r="C23" s="229"/>
      <c r="D23" s="261"/>
      <c r="E23" s="100"/>
      <c r="F23" s="101" t="s">
        <v>170</v>
      </c>
      <c r="G23" s="41"/>
      <c r="H23" s="236" t="s">
        <v>189</v>
      </c>
      <c r="I23" s="237"/>
      <c r="J23" s="21"/>
      <c r="L23" s="144" t="str">
        <f>IF(L21,D21,"")</f>
        <v/>
      </c>
      <c r="M23" s="145" t="b">
        <v>0</v>
      </c>
      <c r="N23" s="145" t="b">
        <v>0</v>
      </c>
      <c r="O23" s="145" t="str">
        <f t="shared" si="0"/>
        <v/>
      </c>
      <c r="P23" s="146" t="str">
        <f t="shared" si="1"/>
        <v/>
      </c>
    </row>
    <row r="24" spans="2:17" ht="15.75" customHeight="1" x14ac:dyDescent="0.15">
      <c r="B24" s="20"/>
      <c r="C24" s="229"/>
      <c r="D24" s="261"/>
      <c r="E24" s="100"/>
      <c r="F24" s="102" t="s">
        <v>179</v>
      </c>
      <c r="G24" s="41"/>
      <c r="H24" s="236" t="s">
        <v>210</v>
      </c>
      <c r="I24" s="237"/>
      <c r="J24" s="21"/>
      <c r="L24" s="144" t="str">
        <f>L23&amp;O21 &amp;" "&amp;O22 &amp;" "&amp;O23 &amp;" "&amp;O24 &amp;" "&amp;O25 &amp;" "&amp;P21 &amp;" "&amp;P22 &amp;" "&amp;P23 &amp;" "&amp;P24 &amp;" "&amp;P25</f>
        <v xml:space="preserve">         </v>
      </c>
      <c r="M24" s="145" t="b">
        <v>0</v>
      </c>
      <c r="N24" s="145" t="b">
        <v>0</v>
      </c>
      <c r="O24" s="145" t="str">
        <f t="shared" si="0"/>
        <v/>
      </c>
      <c r="P24" s="146" t="str">
        <f t="shared" si="1"/>
        <v/>
      </c>
    </row>
    <row r="25" spans="2:17" ht="15.75" customHeight="1" thickBot="1" x14ac:dyDescent="0.2">
      <c r="B25" s="20"/>
      <c r="C25" s="230"/>
      <c r="D25" s="262"/>
      <c r="E25" s="103"/>
      <c r="F25" s="150" t="s">
        <v>6</v>
      </c>
      <c r="G25" s="105"/>
      <c r="H25" s="238"/>
      <c r="I25" s="239"/>
      <c r="J25" s="21"/>
      <c r="L25" s="147"/>
      <c r="M25" s="148" t="b">
        <v>0</v>
      </c>
      <c r="N25" s="148" t="b">
        <v>0</v>
      </c>
      <c r="O25" s="148" t="str">
        <f t="shared" si="0"/>
        <v/>
      </c>
      <c r="P25" s="149" t="str">
        <f t="shared" si="1"/>
        <v/>
      </c>
    </row>
    <row r="26" spans="2:17" ht="15.75" customHeight="1" x14ac:dyDescent="0.15">
      <c r="B26" s="20"/>
      <c r="C26" s="228"/>
      <c r="D26" s="231" t="s">
        <v>360</v>
      </c>
      <c r="E26" s="97"/>
      <c r="F26" s="98" t="s">
        <v>162</v>
      </c>
      <c r="G26" s="99"/>
      <c r="H26" s="234" t="s">
        <v>189</v>
      </c>
      <c r="I26" s="235"/>
      <c r="J26" s="21"/>
      <c r="L26" s="141" t="b">
        <v>0</v>
      </c>
      <c r="M26" s="142" t="b">
        <v>0</v>
      </c>
      <c r="N26" s="142" t="b">
        <v>0</v>
      </c>
      <c r="O26" s="142" t="str">
        <f t="shared" ref="O26:O30" si="2">IF(M26,F26,"")</f>
        <v/>
      </c>
      <c r="P26" s="143" t="str">
        <f t="shared" ref="P26:P30" si="3">IF(N26,H26,"")</f>
        <v/>
      </c>
      <c r="Q26" s="95" t="str">
        <f>IF(L26,IF(L27&gt;0,"OK","業務領域を一つ以上選択してください。"),IF(L27=0,"OK","未選択の業種の場合、業務領域は選択できません。"))</f>
        <v>OK</v>
      </c>
    </row>
    <row r="27" spans="2:17" ht="15.75" customHeight="1" x14ac:dyDescent="0.15">
      <c r="B27" s="20"/>
      <c r="C27" s="229"/>
      <c r="D27" s="232"/>
      <c r="E27" s="100"/>
      <c r="F27" s="101" t="s">
        <v>168</v>
      </c>
      <c r="G27" s="41"/>
      <c r="H27" s="236" t="s">
        <v>194</v>
      </c>
      <c r="I27" s="237"/>
      <c r="J27" s="21"/>
      <c r="L27" s="144">
        <f>COUNTIF(M26:N30,TRUE)</f>
        <v>0</v>
      </c>
      <c r="M27" s="145" t="b">
        <v>0</v>
      </c>
      <c r="N27" s="145" t="b">
        <v>0</v>
      </c>
      <c r="O27" s="145" t="str">
        <f t="shared" si="2"/>
        <v/>
      </c>
      <c r="P27" s="146" t="str">
        <f t="shared" si="3"/>
        <v/>
      </c>
    </row>
    <row r="28" spans="2:17" ht="15.75" customHeight="1" x14ac:dyDescent="0.15">
      <c r="B28" s="20"/>
      <c r="C28" s="229"/>
      <c r="D28" s="232"/>
      <c r="E28" s="100"/>
      <c r="F28" s="101" t="s">
        <v>170</v>
      </c>
      <c r="G28" s="41"/>
      <c r="H28" s="236" t="s">
        <v>211</v>
      </c>
      <c r="I28" s="237"/>
      <c r="J28" s="21"/>
      <c r="L28" s="144" t="str">
        <f>IF(L26,D26,"")</f>
        <v/>
      </c>
      <c r="M28" s="145" t="b">
        <v>0</v>
      </c>
      <c r="N28" s="145" t="b">
        <v>0</v>
      </c>
      <c r="O28" s="145" t="str">
        <f t="shared" si="2"/>
        <v/>
      </c>
      <c r="P28" s="146" t="str">
        <f t="shared" si="3"/>
        <v/>
      </c>
    </row>
    <row r="29" spans="2:17" ht="15.75" customHeight="1" x14ac:dyDescent="0.15">
      <c r="B29" s="20"/>
      <c r="C29" s="229"/>
      <c r="D29" s="232"/>
      <c r="E29" s="100"/>
      <c r="F29" s="102" t="s">
        <v>179</v>
      </c>
      <c r="G29" s="41"/>
      <c r="H29" s="236"/>
      <c r="I29" s="237"/>
      <c r="J29" s="21"/>
      <c r="L29" s="144" t="str">
        <f>L28&amp;O26 &amp;" "&amp;O27 &amp;" "&amp;O28 &amp;" "&amp;O29 &amp;" "&amp;O30 &amp;" "&amp;P26 &amp;" "&amp;P27 &amp;" "&amp;P28 &amp;" "&amp;P29 &amp;" "&amp;P30</f>
        <v xml:space="preserve">         </v>
      </c>
      <c r="M29" s="145" t="b">
        <v>0</v>
      </c>
      <c r="N29" s="145" t="b">
        <v>0</v>
      </c>
      <c r="O29" s="145" t="str">
        <f t="shared" si="2"/>
        <v/>
      </c>
      <c r="P29" s="146" t="str">
        <f t="shared" si="3"/>
        <v/>
      </c>
    </row>
    <row r="30" spans="2:17" ht="15.75" customHeight="1" thickBot="1" x14ac:dyDescent="0.2">
      <c r="B30" s="20"/>
      <c r="C30" s="230"/>
      <c r="D30" s="233"/>
      <c r="E30" s="103"/>
      <c r="F30" s="104" t="s">
        <v>185</v>
      </c>
      <c r="G30" s="105"/>
      <c r="H30" s="238"/>
      <c r="I30" s="239"/>
      <c r="J30" s="21"/>
      <c r="L30" s="147"/>
      <c r="M30" s="148" t="b">
        <v>0</v>
      </c>
      <c r="N30" s="148" t="b">
        <v>0</v>
      </c>
      <c r="O30" s="148" t="str">
        <f t="shared" si="2"/>
        <v/>
      </c>
      <c r="P30" s="149" t="str">
        <f t="shared" si="3"/>
        <v/>
      </c>
    </row>
    <row r="31" spans="2:17" ht="15.75" customHeight="1" x14ac:dyDescent="0.15">
      <c r="B31" s="20"/>
      <c r="C31" s="228"/>
      <c r="D31" s="260" t="s">
        <v>353</v>
      </c>
      <c r="E31" s="97"/>
      <c r="F31" s="98" t="s">
        <v>162</v>
      </c>
      <c r="G31" s="99"/>
      <c r="H31" s="263" t="s">
        <v>356</v>
      </c>
      <c r="I31" s="231"/>
      <c r="J31" s="21"/>
      <c r="L31" s="141" t="b">
        <v>0</v>
      </c>
      <c r="M31" s="142" t="b">
        <v>0</v>
      </c>
      <c r="N31" s="142" t="b">
        <v>0</v>
      </c>
      <c r="O31" s="142" t="str">
        <f t="shared" si="0"/>
        <v/>
      </c>
      <c r="P31" s="143" t="str">
        <f t="shared" si="1"/>
        <v/>
      </c>
      <c r="Q31" s="95" t="str">
        <f>IF(L31,IF(L32&gt;0,"OK","業務領域を一つ以上選択してください。"),IF(L32=0,"OK","未選択の業種の場合、業務領域は選択できません。"))</f>
        <v>OK</v>
      </c>
    </row>
    <row r="32" spans="2:17" ht="15.75" customHeight="1" x14ac:dyDescent="0.15">
      <c r="B32" s="20"/>
      <c r="C32" s="229"/>
      <c r="D32" s="261"/>
      <c r="E32" s="100"/>
      <c r="F32" s="101" t="s">
        <v>168</v>
      </c>
      <c r="G32" s="41"/>
      <c r="H32" s="264" t="s">
        <v>6</v>
      </c>
      <c r="I32" s="232"/>
      <c r="J32" s="21"/>
      <c r="L32" s="144">
        <f>COUNTIF(M31:N35,TRUE)</f>
        <v>0</v>
      </c>
      <c r="M32" s="145" t="b">
        <v>0</v>
      </c>
      <c r="N32" s="145" t="b">
        <v>0</v>
      </c>
      <c r="O32" s="145" t="str">
        <f t="shared" si="0"/>
        <v/>
      </c>
      <c r="P32" s="146" t="str">
        <f t="shared" si="1"/>
        <v/>
      </c>
    </row>
    <row r="33" spans="1:17" ht="15.75" customHeight="1" x14ac:dyDescent="0.15">
      <c r="B33" s="20"/>
      <c r="C33" s="229"/>
      <c r="D33" s="261"/>
      <c r="E33" s="100"/>
      <c r="F33" s="151" t="s">
        <v>355</v>
      </c>
      <c r="G33" s="41"/>
      <c r="H33" s="236" t="s">
        <v>194</v>
      </c>
      <c r="I33" s="237"/>
      <c r="J33" s="21"/>
      <c r="L33" s="144" t="str">
        <f>IF(L31,D31,"")</f>
        <v/>
      </c>
      <c r="M33" s="145" t="b">
        <v>0</v>
      </c>
      <c r="N33" s="145" t="b">
        <v>0</v>
      </c>
      <c r="O33" s="145" t="str">
        <f t="shared" si="0"/>
        <v/>
      </c>
      <c r="P33" s="146" t="str">
        <f t="shared" si="1"/>
        <v/>
      </c>
    </row>
    <row r="34" spans="1:17" ht="15.75" customHeight="1" x14ac:dyDescent="0.15">
      <c r="B34" s="20"/>
      <c r="C34" s="229"/>
      <c r="D34" s="261"/>
      <c r="E34" s="100"/>
      <c r="F34" s="102" t="s">
        <v>178</v>
      </c>
      <c r="G34" s="41"/>
      <c r="H34" s="236" t="s">
        <v>211</v>
      </c>
      <c r="I34" s="237"/>
      <c r="J34" s="21"/>
      <c r="L34" s="144" t="str">
        <f>L33&amp;O31 &amp;" "&amp;O32 &amp;" "&amp;O33 &amp;" "&amp;O34 &amp;" "&amp;O35 &amp;" "&amp;P31 &amp;" "&amp;P32 &amp;" "&amp;P33 &amp;" "&amp;P34 &amp;" "&amp;P35</f>
        <v xml:space="preserve">         </v>
      </c>
      <c r="M34" s="145" t="b">
        <v>0</v>
      </c>
      <c r="N34" s="145" t="b">
        <v>0</v>
      </c>
      <c r="O34" s="145" t="str">
        <f t="shared" si="0"/>
        <v/>
      </c>
      <c r="P34" s="146" t="str">
        <f t="shared" si="1"/>
        <v/>
      </c>
    </row>
    <row r="35" spans="1:17" ht="15.75" customHeight="1" thickBot="1" x14ac:dyDescent="0.2">
      <c r="B35" s="20"/>
      <c r="C35" s="230"/>
      <c r="D35" s="262"/>
      <c r="E35" s="103"/>
      <c r="F35" s="150" t="s">
        <v>184</v>
      </c>
      <c r="G35" s="105"/>
      <c r="H35" s="238"/>
      <c r="I35" s="239"/>
      <c r="J35" s="21"/>
      <c r="L35" s="147"/>
      <c r="M35" s="148" t="b">
        <v>0</v>
      </c>
      <c r="N35" s="148" t="b">
        <v>0</v>
      </c>
      <c r="O35" s="148" t="str">
        <f t="shared" si="0"/>
        <v/>
      </c>
      <c r="P35" s="149" t="str">
        <f t="shared" si="1"/>
        <v/>
      </c>
    </row>
    <row r="36" spans="1:17" x14ac:dyDescent="0.15">
      <c r="B36" s="22"/>
      <c r="C36" s="4"/>
      <c r="D36" s="4"/>
      <c r="E36" s="4"/>
      <c r="F36" s="4"/>
      <c r="G36" s="4"/>
      <c r="H36" s="8"/>
      <c r="I36" s="8"/>
      <c r="J36" s="23"/>
    </row>
    <row r="38" spans="1:17" ht="17.25" x14ac:dyDescent="0.15">
      <c r="B38" s="17"/>
      <c r="C38" s="28" t="s">
        <v>7</v>
      </c>
      <c r="D38" s="28"/>
      <c r="E38" s="18"/>
      <c r="F38" s="18"/>
      <c r="G38" s="18"/>
      <c r="H38" s="18"/>
      <c r="I38" s="18"/>
      <c r="J38" s="19"/>
    </row>
    <row r="39" spans="1:17" s="91" customFormat="1" ht="14.25" thickBot="1" x14ac:dyDescent="0.2">
      <c r="A39"/>
      <c r="B39" s="20"/>
      <c r="C39"/>
      <c r="D39"/>
      <c r="E39"/>
      <c r="F39"/>
      <c r="G39"/>
      <c r="H39"/>
      <c r="I39"/>
      <c r="J39" s="21"/>
      <c r="K39"/>
      <c r="Q39"/>
    </row>
    <row r="40" spans="1:17" s="91" customFormat="1" ht="14.25" thickBot="1" x14ac:dyDescent="0.2">
      <c r="A40"/>
      <c r="B40" s="20"/>
      <c r="C40" s="240" t="s">
        <v>357</v>
      </c>
      <c r="D40" s="241"/>
      <c r="E40" s="242"/>
      <c r="F40" s="243"/>
      <c r="G40" s="243"/>
      <c r="H40" s="244"/>
      <c r="I40" s="139"/>
      <c r="J40" s="21"/>
      <c r="K40"/>
      <c r="Q40"/>
    </row>
    <row r="41" spans="1:17" s="91" customFormat="1" ht="14.25" thickBot="1" x14ac:dyDescent="0.2">
      <c r="A41"/>
      <c r="B41" s="20"/>
      <c r="C41" s="240" t="s">
        <v>8</v>
      </c>
      <c r="D41" s="241"/>
      <c r="E41" s="242"/>
      <c r="F41" s="243"/>
      <c r="G41" s="243"/>
      <c r="H41" s="244"/>
      <c r="I41" s="139"/>
      <c r="J41" s="21"/>
      <c r="K41"/>
      <c r="Q41"/>
    </row>
    <row r="42" spans="1:17" s="91" customFormat="1" ht="14.25" thickBot="1" x14ac:dyDescent="0.2">
      <c r="A42"/>
      <c r="B42" s="20"/>
      <c r="C42" s="240" t="s">
        <v>10</v>
      </c>
      <c r="D42" s="241"/>
      <c r="E42" s="242"/>
      <c r="F42" s="243"/>
      <c r="G42" s="243"/>
      <c r="H42" s="244"/>
      <c r="I42" s="139"/>
      <c r="J42" s="21"/>
      <c r="K42"/>
      <c r="Q42"/>
    </row>
    <row r="43" spans="1:17" s="91" customFormat="1" ht="14.25" thickBot="1" x14ac:dyDescent="0.2">
      <c r="A43"/>
      <c r="B43" s="20"/>
      <c r="C43" s="240" t="s">
        <v>11</v>
      </c>
      <c r="D43" s="241"/>
      <c r="E43" s="242"/>
      <c r="F43" s="243"/>
      <c r="G43" s="243"/>
      <c r="H43" s="244"/>
      <c r="I43" s="139"/>
      <c r="J43" s="21"/>
      <c r="K43"/>
      <c r="Q43"/>
    </row>
    <row r="44" spans="1:17" s="91" customFormat="1" x14ac:dyDescent="0.15">
      <c r="A44"/>
      <c r="B44" s="20"/>
      <c r="C44"/>
      <c r="D44"/>
      <c r="E44" s="107"/>
      <c r="F44" s="107"/>
      <c r="G44" s="107"/>
      <c r="H44" s="107"/>
      <c r="I44" s="138"/>
      <c r="J44" s="21"/>
      <c r="K44"/>
      <c r="Q44"/>
    </row>
    <row r="45" spans="1:17" s="91" customFormat="1" x14ac:dyDescent="0.15">
      <c r="A45"/>
      <c r="B45" s="22"/>
      <c r="C45" s="4"/>
      <c r="D45" s="4"/>
      <c r="E45" s="4"/>
      <c r="F45" s="4"/>
      <c r="G45" s="4"/>
      <c r="H45" s="4"/>
      <c r="I45" s="4"/>
      <c r="J45" s="23"/>
      <c r="K45"/>
      <c r="Q45"/>
    </row>
    <row r="46" spans="1:17" s="91" customFormat="1" x14ac:dyDescent="0.15">
      <c r="A46"/>
      <c r="B46"/>
      <c r="C46"/>
      <c r="D46"/>
      <c r="E46"/>
      <c r="F46"/>
      <c r="G46"/>
      <c r="H46" s="90"/>
      <c r="I46" s="90"/>
      <c r="J46"/>
      <c r="K46"/>
      <c r="Q46"/>
    </row>
    <row r="47" spans="1:17" s="91" customFormat="1" ht="17.25" x14ac:dyDescent="0.15">
      <c r="A47"/>
      <c r="B47" s="17"/>
      <c r="C47" s="28" t="s">
        <v>13</v>
      </c>
      <c r="D47" s="28"/>
      <c r="E47" s="18"/>
      <c r="F47" s="18"/>
      <c r="G47" s="18"/>
      <c r="H47" s="24"/>
      <c r="I47" s="24"/>
      <c r="J47" s="19"/>
      <c r="K47"/>
      <c r="Q47"/>
    </row>
    <row r="48" spans="1:17" s="91" customFormat="1" ht="14.25" thickBot="1" x14ac:dyDescent="0.2">
      <c r="A48"/>
      <c r="B48" s="20"/>
      <c r="C48"/>
      <c r="D48"/>
      <c r="E48"/>
      <c r="F48"/>
      <c r="G48"/>
      <c r="H48" s="90"/>
      <c r="I48" s="90"/>
      <c r="J48" s="21"/>
      <c r="K48"/>
      <c r="Q48"/>
    </row>
    <row r="49" spans="1:17" s="91" customFormat="1" ht="14.25" thickBot="1" x14ac:dyDescent="0.2">
      <c r="A49"/>
      <c r="B49" s="20"/>
      <c r="C49" s="240" t="s">
        <v>14</v>
      </c>
      <c r="D49" s="241"/>
      <c r="E49" s="257"/>
      <c r="F49" s="258"/>
      <c r="G49" s="258"/>
      <c r="H49" s="259"/>
      <c r="I49" s="106" t="s">
        <v>440</v>
      </c>
      <c r="J49" s="21"/>
      <c r="K49"/>
      <c r="Q49"/>
    </row>
    <row r="50" spans="1:17" s="91" customFormat="1" ht="14.25" thickBot="1" x14ac:dyDescent="0.2">
      <c r="A50"/>
      <c r="B50" s="20"/>
      <c r="C50" s="240" t="s">
        <v>16</v>
      </c>
      <c r="D50" s="241"/>
      <c r="E50" s="257"/>
      <c r="F50" s="258"/>
      <c r="G50" s="258"/>
      <c r="H50" s="259"/>
      <c r="I50" s="106" t="s">
        <v>440</v>
      </c>
      <c r="J50" s="21"/>
      <c r="K50"/>
      <c r="Q50"/>
    </row>
    <row r="51" spans="1:17" s="91" customFormat="1" x14ac:dyDescent="0.15">
      <c r="A51"/>
      <c r="B51" s="20"/>
      <c r="C51"/>
      <c r="D51"/>
      <c r="E51" s="107"/>
      <c r="F51" s="107"/>
      <c r="G51" s="107"/>
      <c r="H51" s="107"/>
      <c r="I51" s="108"/>
      <c r="J51" s="21"/>
      <c r="K51"/>
      <c r="Q51"/>
    </row>
    <row r="52" spans="1:17" s="91" customFormat="1" x14ac:dyDescent="0.15">
      <c r="A52"/>
      <c r="B52" s="22"/>
      <c r="C52" s="4"/>
      <c r="D52" s="4"/>
      <c r="E52" s="4"/>
      <c r="F52" s="4"/>
      <c r="G52" s="4"/>
      <c r="H52" s="36"/>
      <c r="I52" s="8"/>
      <c r="J52" s="23"/>
      <c r="K52"/>
      <c r="Q52"/>
    </row>
    <row r="53" spans="1:17" s="91" customFormat="1" x14ac:dyDescent="0.15">
      <c r="A53"/>
      <c r="B53"/>
      <c r="C53"/>
      <c r="D53"/>
      <c r="E53"/>
      <c r="F53"/>
      <c r="G53"/>
      <c r="H53"/>
      <c r="I53"/>
      <c r="J53"/>
      <c r="K53" s="33" t="s">
        <v>17</v>
      </c>
      <c r="Q53"/>
    </row>
    <row r="54" spans="1:17" s="91" customFormat="1" ht="17.25" x14ac:dyDescent="0.15">
      <c r="B54" s="109"/>
      <c r="C54" s="110" t="s">
        <v>18</v>
      </c>
      <c r="D54" s="110"/>
      <c r="E54" s="111"/>
      <c r="F54" s="111"/>
      <c r="G54" s="111"/>
      <c r="H54" s="112"/>
      <c r="I54" s="112"/>
      <c r="J54" s="113"/>
    </row>
    <row r="55" spans="1:17" s="91" customFormat="1" ht="14.25" thickBot="1" x14ac:dyDescent="0.2">
      <c r="B55" s="114"/>
      <c r="H55" s="115"/>
      <c r="I55" s="115"/>
      <c r="J55" s="116"/>
    </row>
    <row r="56" spans="1:17" s="91" customFormat="1" ht="14.25" thickBot="1" x14ac:dyDescent="0.2">
      <c r="B56" s="114"/>
      <c r="C56" s="248" t="s">
        <v>212</v>
      </c>
      <c r="D56" s="249"/>
      <c r="E56" s="250" t="s">
        <v>19</v>
      </c>
      <c r="F56" s="251"/>
      <c r="G56" s="251"/>
      <c r="H56" s="251"/>
      <c r="I56" s="252"/>
      <c r="J56" s="116"/>
    </row>
    <row r="57" spans="1:17" s="91" customFormat="1" ht="14.25" thickBot="1" x14ac:dyDescent="0.2">
      <c r="B57" s="114"/>
      <c r="C57" s="248" t="s">
        <v>213</v>
      </c>
      <c r="D57" s="249"/>
      <c r="E57" s="250" t="s">
        <v>19</v>
      </c>
      <c r="F57" s="251"/>
      <c r="G57" s="251"/>
      <c r="H57" s="251"/>
      <c r="I57" s="252"/>
      <c r="J57" s="116"/>
    </row>
    <row r="58" spans="1:17" s="91" customFormat="1" ht="14.25" thickBot="1" x14ac:dyDescent="0.2">
      <c r="B58" s="114"/>
      <c r="C58" s="248" t="s">
        <v>214</v>
      </c>
      <c r="D58" s="249"/>
      <c r="E58" s="250" t="s">
        <v>19</v>
      </c>
      <c r="F58" s="251"/>
      <c r="G58" s="251"/>
      <c r="H58" s="251"/>
      <c r="I58" s="252"/>
      <c r="J58" s="116"/>
    </row>
    <row r="59" spans="1:17" s="91" customFormat="1" ht="14.25" thickBot="1" x14ac:dyDescent="0.2">
      <c r="B59" s="114"/>
      <c r="C59" s="248" t="s">
        <v>215</v>
      </c>
      <c r="D59" s="249"/>
      <c r="E59" s="250" t="s">
        <v>19</v>
      </c>
      <c r="F59" s="251"/>
      <c r="G59" s="251"/>
      <c r="H59" s="251"/>
      <c r="I59" s="252"/>
      <c r="J59" s="116"/>
    </row>
    <row r="60" spans="1:17" s="91" customFormat="1" ht="14.25" thickBot="1" x14ac:dyDescent="0.2">
      <c r="B60" s="114"/>
      <c r="C60" s="248" t="s">
        <v>216</v>
      </c>
      <c r="D60" s="249"/>
      <c r="E60" s="250" t="s">
        <v>19</v>
      </c>
      <c r="F60" s="251"/>
      <c r="G60" s="251"/>
      <c r="H60" s="251"/>
      <c r="I60" s="252"/>
      <c r="J60" s="116"/>
    </row>
    <row r="61" spans="1:17" s="91" customFormat="1" x14ac:dyDescent="0.15">
      <c r="B61" s="114"/>
      <c r="C61" s="91" t="s">
        <v>217</v>
      </c>
      <c r="H61" s="117"/>
      <c r="I61" s="115"/>
      <c r="J61" s="116"/>
    </row>
    <row r="62" spans="1:17" s="91" customFormat="1" x14ac:dyDescent="0.15">
      <c r="B62" s="118"/>
      <c r="C62" s="119"/>
      <c r="D62" s="119"/>
      <c r="E62" s="119"/>
      <c r="F62" s="119"/>
      <c r="G62" s="119"/>
      <c r="H62" s="120"/>
      <c r="I62" s="121"/>
      <c r="J62" s="122"/>
    </row>
    <row r="63" spans="1:17" s="91" customFormat="1" x14ac:dyDescent="0.15"/>
    <row r="64" spans="1:17" s="91" customFormat="1" x14ac:dyDescent="0.15">
      <c r="C64" s="253" t="s">
        <v>218</v>
      </c>
      <c r="D64" s="254"/>
      <c r="E64" s="253"/>
      <c r="F64" s="255"/>
      <c r="G64" s="255"/>
      <c r="H64" s="255"/>
      <c r="I64" s="254"/>
    </row>
    <row r="65" spans="3:9" s="91" customFormat="1" x14ac:dyDescent="0.15">
      <c r="C65" s="256"/>
      <c r="D65" s="256"/>
      <c r="E65" s="256"/>
      <c r="F65" s="256"/>
      <c r="G65" s="256"/>
      <c r="H65" s="256"/>
      <c r="I65" s="256"/>
    </row>
    <row r="66" spans="3:9" s="91" customFormat="1" x14ac:dyDescent="0.15">
      <c r="C66" s="245" t="s">
        <v>219</v>
      </c>
      <c r="D66" s="246"/>
      <c r="E66" s="245"/>
      <c r="F66" s="247"/>
      <c r="G66" s="247"/>
      <c r="H66" s="247"/>
      <c r="I66" s="246"/>
    </row>
    <row r="67" spans="3:9" s="91" customFormat="1" x14ac:dyDescent="0.15">
      <c r="C67" s="245" t="s">
        <v>220</v>
      </c>
      <c r="D67" s="246"/>
      <c r="E67" s="245"/>
      <c r="F67" s="247"/>
      <c r="G67" s="247"/>
      <c r="H67" s="247"/>
      <c r="I67" s="246"/>
    </row>
    <row r="68" spans="3:9" s="91" customFormat="1" x14ac:dyDescent="0.15">
      <c r="C68" s="245" t="s">
        <v>221</v>
      </c>
      <c r="D68" s="246"/>
      <c r="E68" s="245"/>
      <c r="F68" s="247"/>
      <c r="G68" s="247"/>
      <c r="H68" s="247"/>
      <c r="I68" s="246"/>
    </row>
    <row r="69" spans="3:9" s="91" customFormat="1" x14ac:dyDescent="0.15">
      <c r="C69" s="245" t="s">
        <v>222</v>
      </c>
      <c r="D69" s="246"/>
      <c r="E69" s="245"/>
      <c r="F69" s="247"/>
      <c r="G69" s="247"/>
      <c r="H69" s="247"/>
      <c r="I69" s="246"/>
    </row>
    <row r="70" spans="3:9" s="91" customFormat="1" x14ac:dyDescent="0.15">
      <c r="C70" s="245" t="s">
        <v>223</v>
      </c>
      <c r="D70" s="246"/>
      <c r="E70" s="245"/>
      <c r="F70" s="247"/>
      <c r="G70" s="247"/>
      <c r="H70" s="247"/>
      <c r="I70" s="246"/>
    </row>
  </sheetData>
  <sheetProtection algorithmName="SHA-512" hashValue="SVjLEG0Tv6sx5wSWksgRYtVdQ4F5sCVy4WEQ91B6ddxDZHNoKePf978qig+4IaXQdhP8LNnLmyhVyx82pho83A==" saltValue="varGrYaeAfOI9IDohLdaQA==" spinCount="100000" sheet="1" objects="1" scenarios="1" formatCells="0" formatRows="0" insertRows="0" deleteRows="0"/>
  <mergeCells count="73">
    <mergeCell ref="C15:D15"/>
    <mergeCell ref="E15:I15"/>
    <mergeCell ref="A3:K3"/>
    <mergeCell ref="C5:I5"/>
    <mergeCell ref="C6:I6"/>
    <mergeCell ref="B8:J8"/>
    <mergeCell ref="E12:I12"/>
    <mergeCell ref="E13:I13"/>
    <mergeCell ref="C13:D13"/>
    <mergeCell ref="C16:C20"/>
    <mergeCell ref="D16:D20"/>
    <mergeCell ref="H16:I16"/>
    <mergeCell ref="H17:I17"/>
    <mergeCell ref="H18:I18"/>
    <mergeCell ref="H19:I19"/>
    <mergeCell ref="H20:I20"/>
    <mergeCell ref="C21:C25"/>
    <mergeCell ref="D21:D25"/>
    <mergeCell ref="H21:I21"/>
    <mergeCell ref="H22:I22"/>
    <mergeCell ref="H23:I23"/>
    <mergeCell ref="H24:I24"/>
    <mergeCell ref="H25:I25"/>
    <mergeCell ref="C31:C35"/>
    <mergeCell ref="D31:D35"/>
    <mergeCell ref="H31:I31"/>
    <mergeCell ref="H32:I32"/>
    <mergeCell ref="H33:I33"/>
    <mergeCell ref="H34:I34"/>
    <mergeCell ref="H35:I35"/>
    <mergeCell ref="C40:D40"/>
    <mergeCell ref="E40:H40"/>
    <mergeCell ref="C41:D41"/>
    <mergeCell ref="E41:H41"/>
    <mergeCell ref="C42:D42"/>
    <mergeCell ref="E42:H42"/>
    <mergeCell ref="C49:D49"/>
    <mergeCell ref="E49:H49"/>
    <mergeCell ref="C50:D50"/>
    <mergeCell ref="E50:H50"/>
    <mergeCell ref="C56:D56"/>
    <mergeCell ref="E56:I56"/>
    <mergeCell ref="C65:D65"/>
    <mergeCell ref="E65:I65"/>
    <mergeCell ref="C57:D57"/>
    <mergeCell ref="E57:I57"/>
    <mergeCell ref="C58:D58"/>
    <mergeCell ref="E58:I58"/>
    <mergeCell ref="C59:D59"/>
    <mergeCell ref="E59:I59"/>
    <mergeCell ref="C43:D43"/>
    <mergeCell ref="E43:H43"/>
    <mergeCell ref="C69:D69"/>
    <mergeCell ref="E69:I69"/>
    <mergeCell ref="C70:D70"/>
    <mergeCell ref="E70:I70"/>
    <mergeCell ref="C66:D66"/>
    <mergeCell ref="E66:I66"/>
    <mergeCell ref="C67:D67"/>
    <mergeCell ref="E67:I67"/>
    <mergeCell ref="C68:D68"/>
    <mergeCell ref="E68:I68"/>
    <mergeCell ref="C60:D60"/>
    <mergeCell ref="E60:I60"/>
    <mergeCell ref="C64:D64"/>
    <mergeCell ref="E64:I64"/>
    <mergeCell ref="C26:C30"/>
    <mergeCell ref="D26:D30"/>
    <mergeCell ref="H26:I26"/>
    <mergeCell ref="H27:I27"/>
    <mergeCell ref="H28:I28"/>
    <mergeCell ref="H29:I29"/>
    <mergeCell ref="H30:I30"/>
  </mergeCells>
  <phoneticPr fontId="1"/>
  <dataValidations count="1">
    <dataValidation type="list" allowBlank="1" showInputMessage="1" showErrorMessage="1" sqref="E37:G37" xr:uid="{57585A66-3B72-414E-A95B-BB648E517E99}">
      <formula1>INDIRECT($E$16)</formula1>
    </dataValidation>
  </dataValidations>
  <printOptions horizontalCentered="1"/>
  <pageMargins left="0.23622047244094491" right="0.23622047244094491" top="0.74803149606299213" bottom="0.74803149606299213" header="0.31496062992125984" footer="0.31496062992125984"/>
  <pageSetup paperSize="9" scale="74"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2</xdr:col>
                    <xdr:colOff>9525</xdr:colOff>
                    <xdr:row>17</xdr:row>
                    <xdr:rowOff>28575</xdr:rowOff>
                  </from>
                  <to>
                    <xdr:col>3</xdr:col>
                    <xdr:colOff>38100</xdr:colOff>
                    <xdr:row>18</xdr:row>
                    <xdr:rowOff>28575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4</xdr:col>
                    <xdr:colOff>9525</xdr:colOff>
                    <xdr:row>18</xdr:row>
                    <xdr:rowOff>9525</xdr:rowOff>
                  </from>
                  <to>
                    <xdr:col>5</xdr:col>
                    <xdr:colOff>66675</xdr:colOff>
                    <xdr:row>18</xdr:row>
                    <xdr:rowOff>190500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2</xdr:col>
                    <xdr:colOff>9525</xdr:colOff>
                    <xdr:row>22</xdr:row>
                    <xdr:rowOff>28575</xdr:rowOff>
                  </from>
                  <to>
                    <xdr:col>3</xdr:col>
                    <xdr:colOff>38100</xdr:colOff>
                    <xdr:row>23</xdr:row>
                    <xdr:rowOff>28575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4</xdr:col>
                    <xdr:colOff>9525</xdr:colOff>
                    <xdr:row>23</xdr:row>
                    <xdr:rowOff>9525</xdr:rowOff>
                  </from>
                  <to>
                    <xdr:col>5</xdr:col>
                    <xdr:colOff>66675</xdr:colOff>
                    <xdr:row>23</xdr:row>
                    <xdr:rowOff>190500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2</xdr:col>
                    <xdr:colOff>9525</xdr:colOff>
                    <xdr:row>32</xdr:row>
                    <xdr:rowOff>28575</xdr:rowOff>
                  </from>
                  <to>
                    <xdr:col>3</xdr:col>
                    <xdr:colOff>38100</xdr:colOff>
                    <xdr:row>33</xdr:row>
                    <xdr:rowOff>28575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4</xdr:col>
                    <xdr:colOff>9525</xdr:colOff>
                    <xdr:row>33</xdr:row>
                    <xdr:rowOff>9525</xdr:rowOff>
                  </from>
                  <to>
                    <xdr:col>5</xdr:col>
                    <xdr:colOff>66675</xdr:colOff>
                    <xdr:row>33</xdr:row>
                    <xdr:rowOff>190500</xdr:rowOff>
                  </to>
                </anchor>
              </controlPr>
            </control>
          </mc:Choice>
        </mc:AlternateContent>
        <mc:AlternateContent xmlns:mc="http://schemas.openxmlformats.org/markup-compatibility/2006">
          <mc:Choice Requires="x14">
            <control shapeId="1032" r:id="rId10" name="Check Box 8">
              <controlPr locked="0" defaultSize="0" autoFill="0" autoLine="0" autoPict="0">
                <anchor moveWithCells="1">
                  <from>
                    <xdr:col>2</xdr:col>
                    <xdr:colOff>9525</xdr:colOff>
                    <xdr:row>27</xdr:row>
                    <xdr:rowOff>28575</xdr:rowOff>
                  </from>
                  <to>
                    <xdr:col>3</xdr:col>
                    <xdr:colOff>38100</xdr:colOff>
                    <xdr:row>28</xdr:row>
                    <xdr:rowOff>28575</xdr:rowOff>
                  </to>
                </anchor>
              </controlPr>
            </control>
          </mc:Choice>
        </mc:AlternateContent>
        <mc:AlternateContent xmlns:mc="http://schemas.openxmlformats.org/markup-compatibility/2006">
          <mc:Choice Requires="x14">
            <control shapeId="1033" r:id="rId11" name="Check Box 9">
              <controlPr locked="0" defaultSize="0" autoFill="0" autoLine="0" autoPict="0">
                <anchor moveWithCells="1">
                  <from>
                    <xdr:col>4</xdr:col>
                    <xdr:colOff>9525</xdr:colOff>
                    <xdr:row>28</xdr:row>
                    <xdr:rowOff>9525</xdr:rowOff>
                  </from>
                  <to>
                    <xdr:col>5</xdr:col>
                    <xdr:colOff>66675</xdr:colOff>
                    <xdr:row>28</xdr:row>
                    <xdr:rowOff>190500</xdr:rowOff>
                  </to>
                </anchor>
              </controlPr>
            </control>
          </mc:Choice>
        </mc:AlternateContent>
        <mc:AlternateContent xmlns:mc="http://schemas.openxmlformats.org/markup-compatibility/2006">
          <mc:Choice Requires="x14">
            <control shapeId="1035" r:id="rId12" name="Check Box 11">
              <controlPr locked="0" defaultSize="0" autoFill="0" autoLine="0" autoPict="0">
                <anchor moveWithCells="1">
                  <from>
                    <xdr:col>4</xdr:col>
                    <xdr:colOff>9525</xdr:colOff>
                    <xdr:row>19</xdr:row>
                    <xdr:rowOff>9525</xdr:rowOff>
                  </from>
                  <to>
                    <xdr:col>5</xdr:col>
                    <xdr:colOff>66675</xdr:colOff>
                    <xdr:row>19</xdr:row>
                    <xdr:rowOff>190500</xdr:rowOff>
                  </to>
                </anchor>
              </controlPr>
            </control>
          </mc:Choice>
        </mc:AlternateContent>
        <mc:AlternateContent xmlns:mc="http://schemas.openxmlformats.org/markup-compatibility/2006">
          <mc:Choice Requires="x14">
            <control shapeId="1036" r:id="rId13" name="Check Box 12">
              <controlPr locked="0" defaultSize="0" autoFill="0" autoLine="0" autoPict="0">
                <anchor moveWithCells="1">
                  <from>
                    <xdr:col>4</xdr:col>
                    <xdr:colOff>9525</xdr:colOff>
                    <xdr:row>24</xdr:row>
                    <xdr:rowOff>9525</xdr:rowOff>
                  </from>
                  <to>
                    <xdr:col>5</xdr:col>
                    <xdr:colOff>66675</xdr:colOff>
                    <xdr:row>24</xdr:row>
                    <xdr:rowOff>190500</xdr:rowOff>
                  </to>
                </anchor>
              </controlPr>
            </control>
          </mc:Choice>
        </mc:AlternateContent>
        <mc:AlternateContent xmlns:mc="http://schemas.openxmlformats.org/markup-compatibility/2006">
          <mc:Choice Requires="x14">
            <control shapeId="1037" r:id="rId14" name="Check Box 13">
              <controlPr locked="0" defaultSize="0" autoFill="0" autoLine="0" autoPict="0">
                <anchor moveWithCells="1">
                  <from>
                    <xdr:col>4</xdr:col>
                    <xdr:colOff>9525</xdr:colOff>
                    <xdr:row>34</xdr:row>
                    <xdr:rowOff>0</xdr:rowOff>
                  </from>
                  <to>
                    <xdr:col>5</xdr:col>
                    <xdr:colOff>66675</xdr:colOff>
                    <xdr:row>34</xdr:row>
                    <xdr:rowOff>180975</xdr:rowOff>
                  </to>
                </anchor>
              </controlPr>
            </control>
          </mc:Choice>
        </mc:AlternateContent>
        <mc:AlternateContent xmlns:mc="http://schemas.openxmlformats.org/markup-compatibility/2006">
          <mc:Choice Requires="x14">
            <control shapeId="1038" r:id="rId15" name="Check Box 14">
              <controlPr locked="0" defaultSize="0" autoFill="0" autoLine="0" autoPict="0">
                <anchor moveWithCells="1">
                  <from>
                    <xdr:col>6</xdr:col>
                    <xdr:colOff>28575</xdr:colOff>
                    <xdr:row>30</xdr:row>
                    <xdr:rowOff>28575</xdr:rowOff>
                  </from>
                  <to>
                    <xdr:col>7</xdr:col>
                    <xdr:colOff>85725</xdr:colOff>
                    <xdr:row>31</xdr:row>
                    <xdr:rowOff>19050</xdr:rowOff>
                  </to>
                </anchor>
              </controlPr>
            </control>
          </mc:Choice>
        </mc:AlternateContent>
        <mc:AlternateContent xmlns:mc="http://schemas.openxmlformats.org/markup-compatibility/2006">
          <mc:Choice Requires="x14">
            <control shapeId="1039" r:id="rId16" name="Check Box 15">
              <controlPr locked="0" defaultSize="0" autoFill="0" autoLine="0" autoPict="0">
                <anchor moveWithCells="1">
                  <from>
                    <xdr:col>6</xdr:col>
                    <xdr:colOff>19050</xdr:colOff>
                    <xdr:row>31</xdr:row>
                    <xdr:rowOff>19050</xdr:rowOff>
                  </from>
                  <to>
                    <xdr:col>7</xdr:col>
                    <xdr:colOff>76200</xdr:colOff>
                    <xdr:row>32</xdr:row>
                    <xdr:rowOff>0</xdr:rowOff>
                  </to>
                </anchor>
              </controlPr>
            </control>
          </mc:Choice>
        </mc:AlternateContent>
        <mc:AlternateContent xmlns:mc="http://schemas.openxmlformats.org/markup-compatibility/2006">
          <mc:Choice Requires="x14">
            <control shapeId="1040" r:id="rId17" name="Check Box 16">
              <controlPr locked="0" defaultSize="0" autoFill="0" autoLine="0" autoPict="0">
                <anchor moveWithCells="1">
                  <from>
                    <xdr:col>4</xdr:col>
                    <xdr:colOff>9525</xdr:colOff>
                    <xdr:row>32</xdr:row>
                    <xdr:rowOff>0</xdr:rowOff>
                  </from>
                  <to>
                    <xdr:col>5</xdr:col>
                    <xdr:colOff>66675</xdr:colOff>
                    <xdr:row>32</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054C0FB-0C04-416A-8965-995CB98F3654}">
          <x14:formula1>
            <xm:f>凡例!$L$1:$L$2</xm:f>
          </x14:formula1>
          <xm:sqref>E43</xm:sqref>
        </x14:dataValidation>
        <x14:dataValidation type="list" allowBlank="1" showInputMessage="1" showErrorMessage="1" xr:uid="{29A3BC28-7120-4D22-BA5E-449CC8FA659F}">
          <x14:formula1>
            <xm:f>凡例!$N$1:$N$2</xm:f>
          </x14:formula1>
          <xm:sqref>E41:E42</xm:sqref>
        </x14:dataValidation>
        <x14:dataValidation type="list" allowBlank="1" showInputMessage="1" showErrorMessage="1" xr:uid="{A6B18A7C-8DF6-4E81-B5CB-CF7893DE89A9}">
          <x14:formula1>
            <xm:f>凡例!$A$10:$A$11</xm:f>
          </x14:formula1>
          <xm:sqref>E13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40A22-CF5F-4BB9-B17D-1E8DB36BEAD2}">
  <sheetPr codeName="Sheet6">
    <pageSetUpPr fitToPage="1"/>
  </sheetPr>
  <dimension ref="B2:Z50"/>
  <sheetViews>
    <sheetView view="pageBreakPreview" zoomScale="85" zoomScaleNormal="100" zoomScaleSheetLayoutView="85" workbookViewId="0"/>
  </sheetViews>
  <sheetFormatPr defaultRowHeight="13.5" x14ac:dyDescent="0.15"/>
  <cols>
    <col min="1" max="2" width="2.75" customWidth="1"/>
    <col min="3" max="3" width="28.125" customWidth="1"/>
    <col min="4" max="4" width="10.375" customWidth="1"/>
    <col min="5" max="5" width="2.375" customWidth="1"/>
    <col min="6" max="6" width="6.375" customWidth="1"/>
    <col min="7" max="7" width="11.375" bestFit="1" customWidth="1"/>
    <col min="8" max="8" width="3.375" customWidth="1"/>
    <col min="9" max="9" width="11" customWidth="1"/>
    <col min="10" max="10" width="11.375" bestFit="1" customWidth="1"/>
    <col min="11" max="11" width="3.375" bestFit="1" customWidth="1"/>
    <col min="12" max="12" width="11" customWidth="1"/>
    <col min="13" max="13" width="9.375" customWidth="1"/>
    <col min="14" max="14" width="3.375" bestFit="1" customWidth="1"/>
    <col min="15" max="16" width="9.375" customWidth="1"/>
    <col min="17" max="18" width="2.875" customWidth="1"/>
  </cols>
  <sheetData>
    <row r="2" spans="2:17" ht="24" x14ac:dyDescent="0.15">
      <c r="C2" s="268" t="s">
        <v>20</v>
      </c>
      <c r="D2" s="268"/>
      <c r="E2" s="268"/>
      <c r="F2" s="268"/>
      <c r="G2" s="268"/>
      <c r="H2" s="268"/>
      <c r="I2" s="268"/>
      <c r="J2" s="268"/>
      <c r="K2" s="268"/>
      <c r="L2" s="268"/>
      <c r="M2" s="268"/>
      <c r="N2" s="268"/>
      <c r="O2" s="268"/>
      <c r="P2" s="268"/>
    </row>
    <row r="3" spans="2:17" ht="7.5" customHeight="1" x14ac:dyDescent="0.15">
      <c r="C3" s="34"/>
      <c r="D3" s="34"/>
      <c r="E3" s="34"/>
      <c r="F3" s="34"/>
      <c r="G3" s="34"/>
      <c r="H3" s="34"/>
      <c r="I3" s="34"/>
      <c r="J3" s="34"/>
      <c r="K3" s="34"/>
      <c r="L3" s="34"/>
      <c r="M3" s="34"/>
      <c r="N3" s="34"/>
      <c r="O3" s="34"/>
      <c r="P3" s="34"/>
    </row>
    <row r="4" spans="2:17" ht="15" customHeight="1" x14ac:dyDescent="0.15">
      <c r="C4" s="140" t="str">
        <f>"【"&amp;製品カテゴリ&amp;"】"</f>
        <v>【AGV・AMR】</v>
      </c>
      <c r="D4" s="34"/>
      <c r="E4" s="34"/>
      <c r="F4" s="34"/>
      <c r="G4" s="34"/>
      <c r="H4" s="34"/>
      <c r="I4" s="34"/>
      <c r="J4" s="34"/>
      <c r="K4" s="35"/>
      <c r="L4" s="35"/>
      <c r="M4" s="35"/>
      <c r="N4" s="547" t="s">
        <v>21</v>
      </c>
      <c r="O4" s="547"/>
      <c r="P4" s="547"/>
    </row>
    <row r="5" spans="2:17" ht="7.5" customHeight="1" x14ac:dyDescent="0.15">
      <c r="C5" s="34"/>
      <c r="D5" s="34"/>
      <c r="E5" s="34"/>
      <c r="F5" s="34"/>
      <c r="G5" s="34"/>
      <c r="H5" s="34"/>
      <c r="I5" s="34"/>
      <c r="J5" s="34"/>
      <c r="K5" s="34"/>
      <c r="L5" s="34"/>
      <c r="M5" s="34"/>
      <c r="N5" s="34"/>
      <c r="O5" s="34"/>
      <c r="P5" s="34"/>
    </row>
    <row r="6" spans="2:17" x14ac:dyDescent="0.15">
      <c r="C6" s="11" t="s">
        <v>0</v>
      </c>
      <c r="D6" s="551">
        <f>製造事業者名</f>
        <v>0</v>
      </c>
      <c r="E6" s="551"/>
      <c r="F6" s="551"/>
      <c r="G6" s="551"/>
      <c r="H6" s="551"/>
      <c r="I6" s="551"/>
      <c r="J6" s="551"/>
      <c r="K6" s="551"/>
      <c r="L6" s="551"/>
      <c r="M6" s="551"/>
    </row>
    <row r="7" spans="2:17" x14ac:dyDescent="0.15">
      <c r="C7" s="11" t="s">
        <v>1</v>
      </c>
      <c r="D7" s="551">
        <f>型番</f>
        <v>0</v>
      </c>
      <c r="E7" s="551"/>
      <c r="F7" s="551"/>
      <c r="G7" s="551"/>
      <c r="H7" s="551"/>
      <c r="I7" s="551"/>
      <c r="J7" s="551"/>
      <c r="K7" s="551"/>
      <c r="L7" s="551"/>
      <c r="M7" s="551"/>
    </row>
    <row r="9" spans="2:17" x14ac:dyDescent="0.15">
      <c r="C9" s="1" t="s">
        <v>444</v>
      </c>
      <c r="D9" s="1"/>
    </row>
    <row r="10" spans="2:17" x14ac:dyDescent="0.15">
      <c r="C10" s="1"/>
      <c r="D10" s="1"/>
    </row>
    <row r="11" spans="2:17" x14ac:dyDescent="0.15">
      <c r="C11" s="37" t="s">
        <v>22</v>
      </c>
      <c r="D11" s="548" t="s">
        <v>23</v>
      </c>
      <c r="E11" s="549"/>
      <c r="F11" s="549"/>
      <c r="G11" s="549"/>
      <c r="H11" s="550"/>
    </row>
    <row r="13" spans="2:17" ht="17.25" x14ac:dyDescent="0.15">
      <c r="B13" s="17"/>
      <c r="C13" s="28" t="s">
        <v>24</v>
      </c>
      <c r="D13" s="28"/>
      <c r="E13" s="18"/>
      <c r="F13" s="18"/>
      <c r="G13" s="18"/>
      <c r="H13" s="18"/>
      <c r="I13" s="18"/>
      <c r="J13" s="18"/>
      <c r="K13" s="18"/>
      <c r="L13" s="18"/>
      <c r="M13" s="18"/>
      <c r="N13" s="18"/>
      <c r="O13" s="18"/>
      <c r="P13" s="18"/>
      <c r="Q13" s="19"/>
    </row>
    <row r="14" spans="2:17" x14ac:dyDescent="0.15">
      <c r="B14" s="20"/>
      <c r="C14" s="12"/>
      <c r="D14" s="12"/>
      <c r="Q14" s="21"/>
    </row>
    <row r="15" spans="2:17" x14ac:dyDescent="0.15">
      <c r="B15" s="20"/>
      <c r="C15" t="s">
        <v>25</v>
      </c>
      <c r="I15" s="72">
        <f>'利用が想定される中小企業（倉庫業）'!D9/2000*60</f>
        <v>0.88175420862566101</v>
      </c>
      <c r="J15" s="5" t="s">
        <v>26</v>
      </c>
      <c r="K15" s="5" t="s">
        <v>27</v>
      </c>
      <c r="L15" s="53">
        <f>'利用が想定される中小企業（倉庫業）'!D$10/100</f>
        <v>322.01574394463665</v>
      </c>
      <c r="M15" s="5" t="s">
        <v>28</v>
      </c>
      <c r="N15" s="5" t="s">
        <v>29</v>
      </c>
      <c r="O15" s="7">
        <f>I15*L15/60</f>
        <v>4.7323122911151092</v>
      </c>
      <c r="P15" s="5" t="s">
        <v>30</v>
      </c>
      <c r="Q15" s="21"/>
    </row>
    <row r="16" spans="2:17" x14ac:dyDescent="0.15">
      <c r="B16" s="20"/>
      <c r="C16" t="s">
        <v>31</v>
      </c>
      <c r="I16" s="72">
        <f>'利用が想定される中小企業（倉庫業）'!D9/4000*60</f>
        <v>0.4408771043128305</v>
      </c>
      <c r="J16" s="5" t="s">
        <v>26</v>
      </c>
      <c r="K16" s="5" t="s">
        <v>27</v>
      </c>
      <c r="L16" s="53">
        <f>'利用が想定される中小企業（倉庫業）'!D$10/100</f>
        <v>322.01574394463665</v>
      </c>
      <c r="M16" s="5" t="s">
        <v>28</v>
      </c>
      <c r="N16" s="5" t="s">
        <v>29</v>
      </c>
      <c r="O16" s="7">
        <f>I16*L16/60</f>
        <v>2.3661561455575546</v>
      </c>
      <c r="P16" s="5" t="s">
        <v>30</v>
      </c>
      <c r="Q16" s="21"/>
    </row>
    <row r="17" spans="2:26" x14ac:dyDescent="0.15">
      <c r="B17" s="20"/>
      <c r="C17" s="4" t="s">
        <v>32</v>
      </c>
      <c r="D17" s="4"/>
      <c r="E17" s="4"/>
      <c r="F17" s="4"/>
      <c r="G17" s="4"/>
      <c r="H17" s="4"/>
      <c r="I17" s="79">
        <v>0.5</v>
      </c>
      <c r="J17" s="8" t="s">
        <v>26</v>
      </c>
      <c r="K17" s="8" t="s">
        <v>27</v>
      </c>
      <c r="L17" s="54">
        <f>'利用が想定される中小企業（倉庫業）'!D$10/100</f>
        <v>322.01574394463665</v>
      </c>
      <c r="M17" s="8" t="s">
        <v>28</v>
      </c>
      <c r="N17" s="8" t="s">
        <v>29</v>
      </c>
      <c r="O17" s="9">
        <f>I17*L17/60</f>
        <v>2.6834645328719722</v>
      </c>
      <c r="P17" s="8" t="s">
        <v>30</v>
      </c>
      <c r="Q17" s="21"/>
    </row>
    <row r="18" spans="2:26" x14ac:dyDescent="0.15">
      <c r="B18" s="20"/>
      <c r="C18" t="s">
        <v>33</v>
      </c>
      <c r="F18" s="5"/>
      <c r="G18" s="5"/>
      <c r="H18" s="5"/>
      <c r="I18" s="5"/>
      <c r="J18" s="5"/>
      <c r="K18" s="5"/>
      <c r="L18" s="5"/>
      <c r="M18" s="5"/>
      <c r="N18" s="5"/>
      <c r="O18" s="7">
        <f>SUM(O15:O17)</f>
        <v>9.781932969544636</v>
      </c>
      <c r="P18" s="5" t="s">
        <v>30</v>
      </c>
      <c r="Q18" s="21"/>
    </row>
    <row r="19" spans="2:26" x14ac:dyDescent="0.15">
      <c r="B19" s="20"/>
      <c r="C19" t="s">
        <v>34</v>
      </c>
      <c r="F19" s="5"/>
      <c r="G19" s="5"/>
      <c r="H19" s="5"/>
      <c r="I19" s="5"/>
      <c r="J19" s="5"/>
      <c r="K19" s="5"/>
      <c r="L19" s="5"/>
      <c r="M19" s="5"/>
      <c r="N19" s="5"/>
      <c r="O19" s="13"/>
      <c r="P19" s="5"/>
      <c r="Q19" s="21"/>
    </row>
    <row r="20" spans="2:26" x14ac:dyDescent="0.15">
      <c r="B20" s="20"/>
      <c r="F20" s="5"/>
      <c r="G20" s="5"/>
      <c r="H20" s="5"/>
      <c r="I20" s="5"/>
      <c r="J20" s="5"/>
      <c r="K20" s="5"/>
      <c r="L20" s="5"/>
      <c r="M20" s="5"/>
      <c r="N20" s="5"/>
      <c r="O20" s="13"/>
      <c r="P20" s="5"/>
      <c r="Q20" s="21"/>
    </row>
    <row r="21" spans="2:26" x14ac:dyDescent="0.15">
      <c r="B21" s="20"/>
      <c r="C21" t="s">
        <v>35</v>
      </c>
      <c r="F21" s="72">
        <f>'利用が想定される中小企業（倉庫業）'!D9/30+'利用が想定される中小企業（倉庫業）'!D9/60</f>
        <v>1.4695903477094348</v>
      </c>
      <c r="G21" s="5" t="s">
        <v>26</v>
      </c>
      <c r="H21" s="5" t="s">
        <v>27</v>
      </c>
      <c r="I21" s="52">
        <f>IF(人の同伴=凡例!$L$1,1,0)</f>
        <v>0</v>
      </c>
      <c r="J21" s="5" t="s">
        <v>36</v>
      </c>
      <c r="K21" s="5" t="s">
        <v>27</v>
      </c>
      <c r="L21" s="52" t="e">
        <f>'利用が想定される中小企業（倉庫業）'!D10/(最大搬送重量*0.8)</f>
        <v>#DIV/0!</v>
      </c>
      <c r="M21" s="5" t="s">
        <v>28</v>
      </c>
      <c r="N21" s="5" t="s">
        <v>29</v>
      </c>
      <c r="O21" s="75" t="e">
        <f>F21*I21*L21/60</f>
        <v>#DIV/0!</v>
      </c>
      <c r="P21" s="5" t="s">
        <v>30</v>
      </c>
      <c r="Q21" s="21"/>
      <c r="S21" s="88"/>
      <c r="T21" s="5"/>
      <c r="U21" s="5"/>
      <c r="V21" s="89"/>
      <c r="W21" s="5"/>
      <c r="X21" s="5"/>
      <c r="Y21" s="89"/>
      <c r="Z21" s="5"/>
    </row>
    <row r="22" spans="2:26" x14ac:dyDescent="0.15">
      <c r="B22" s="20"/>
      <c r="C22" t="s">
        <v>37</v>
      </c>
      <c r="F22" s="6">
        <v>0.5</v>
      </c>
      <c r="G22" s="5" t="s">
        <v>26</v>
      </c>
      <c r="H22" s="5" t="s">
        <v>27</v>
      </c>
      <c r="I22" s="52">
        <f>IF(積み下ろし方法=凡例!$N$1,0,1)</f>
        <v>1</v>
      </c>
      <c r="J22" s="5" t="s">
        <v>36</v>
      </c>
      <c r="K22" s="5" t="s">
        <v>27</v>
      </c>
      <c r="L22" s="52" t="e">
        <f>'利用が想定される中小企業（倉庫業）'!D10/(最大搬送重量*0.8)</f>
        <v>#DIV/0!</v>
      </c>
      <c r="M22" s="5" t="s">
        <v>28</v>
      </c>
      <c r="N22" s="5" t="s">
        <v>29</v>
      </c>
      <c r="O22" s="75" t="e">
        <f>F22*I22*L22/60</f>
        <v>#DIV/0!</v>
      </c>
      <c r="P22" s="5" t="s">
        <v>30</v>
      </c>
      <c r="Q22" s="21"/>
      <c r="S22" s="5"/>
      <c r="T22" s="5"/>
      <c r="U22" s="5"/>
      <c r="V22" s="89"/>
      <c r="W22" s="5"/>
      <c r="X22" s="5"/>
      <c r="Y22" s="89"/>
      <c r="Z22" s="5"/>
    </row>
    <row r="23" spans="2:26" x14ac:dyDescent="0.15">
      <c r="B23" s="20"/>
      <c r="C23" t="s">
        <v>38</v>
      </c>
      <c r="F23" s="6">
        <v>0.25</v>
      </c>
      <c r="G23" s="5" t="s">
        <v>26</v>
      </c>
      <c r="H23" s="5" t="s">
        <v>27</v>
      </c>
      <c r="I23" s="52">
        <f>IF(ルート設定方法=凡例!$N$1,0,1)</f>
        <v>1</v>
      </c>
      <c r="J23" s="5" t="s">
        <v>36</v>
      </c>
      <c r="K23" s="5" t="s">
        <v>27</v>
      </c>
      <c r="L23" s="52" t="e">
        <f>'利用が想定される中小企業（倉庫業）'!D10/(最大搬送重量*0.8)</f>
        <v>#DIV/0!</v>
      </c>
      <c r="M23" s="5" t="s">
        <v>28</v>
      </c>
      <c r="N23" s="5" t="s">
        <v>29</v>
      </c>
      <c r="O23" s="75" t="e">
        <f>F23*I23*L23/60</f>
        <v>#DIV/0!</v>
      </c>
      <c r="P23" s="5" t="s">
        <v>30</v>
      </c>
      <c r="Q23" s="21"/>
      <c r="S23" s="5"/>
      <c r="T23" s="5"/>
      <c r="U23" s="5"/>
      <c r="V23" s="89"/>
      <c r="W23" s="5"/>
      <c r="X23" s="5"/>
      <c r="Y23" s="89"/>
      <c r="Z23" s="5"/>
    </row>
    <row r="24" spans="2:26" x14ac:dyDescent="0.15">
      <c r="B24" s="20"/>
      <c r="C24" s="4" t="s">
        <v>39</v>
      </c>
      <c r="D24" s="4"/>
      <c r="E24" s="4"/>
      <c r="F24" s="8"/>
      <c r="G24" s="8"/>
      <c r="H24" s="8"/>
      <c r="I24" s="10">
        <f>5+30/'利用が想定される中小企業（倉庫業）'!D7</f>
        <v>5.0999999999999996</v>
      </c>
      <c r="J24" s="8" t="s">
        <v>40</v>
      </c>
      <c r="K24" s="8" t="s">
        <v>27</v>
      </c>
      <c r="L24" s="78" t="e">
        <f>'利用が想定される中小企業（倉庫業）'!D11</f>
        <v>#DIV/0!</v>
      </c>
      <c r="M24" s="8" t="s">
        <v>41</v>
      </c>
      <c r="N24" s="8" t="s">
        <v>29</v>
      </c>
      <c r="O24" s="9" t="e">
        <f>(I24*L24)/60</f>
        <v>#DIV/0!</v>
      </c>
      <c r="P24" s="8" t="s">
        <v>30</v>
      </c>
      <c r="Q24" s="21"/>
    </row>
    <row r="25" spans="2:26" x14ac:dyDescent="0.15">
      <c r="B25" s="20"/>
      <c r="C25" t="s">
        <v>42</v>
      </c>
      <c r="F25" s="5"/>
      <c r="G25" s="5"/>
      <c r="H25" s="5"/>
      <c r="I25" s="5"/>
      <c r="J25" s="5"/>
      <c r="K25" s="5"/>
      <c r="L25" s="5"/>
      <c r="M25" s="5"/>
      <c r="N25" s="5"/>
      <c r="O25" s="65" t="e">
        <f>SUM(O21:O24)</f>
        <v>#DIV/0!</v>
      </c>
      <c r="P25" s="5" t="s">
        <v>30</v>
      </c>
      <c r="Q25" s="21"/>
    </row>
    <row r="26" spans="2:26" x14ac:dyDescent="0.15">
      <c r="B26" s="20"/>
      <c r="C26" t="s">
        <v>43</v>
      </c>
      <c r="F26" s="5"/>
      <c r="G26" s="5"/>
      <c r="H26" s="5"/>
      <c r="I26" s="5"/>
      <c r="J26" s="5"/>
      <c r="K26" s="5"/>
      <c r="L26" s="5"/>
      <c r="M26" s="5"/>
      <c r="N26" s="5"/>
      <c r="O26" s="13"/>
      <c r="P26" s="5"/>
      <c r="Q26" s="21"/>
    </row>
    <row r="27" spans="2:26" ht="14.25" thickBot="1" x14ac:dyDescent="0.2">
      <c r="B27" s="20"/>
      <c r="F27" s="5"/>
      <c r="G27" s="5"/>
      <c r="H27" s="5"/>
      <c r="I27" s="5"/>
      <c r="J27" s="5"/>
      <c r="K27" s="5"/>
      <c r="L27" s="5"/>
      <c r="M27" s="5"/>
      <c r="N27" s="5"/>
      <c r="O27" s="13"/>
      <c r="P27" s="5"/>
      <c r="Q27" s="21"/>
    </row>
    <row r="28" spans="2:26" ht="14.25" thickBot="1" x14ac:dyDescent="0.2">
      <c r="B28" s="20"/>
      <c r="C28" s="14" t="s">
        <v>44</v>
      </c>
      <c r="D28" s="14"/>
      <c r="E28" s="11" t="s">
        <v>45</v>
      </c>
      <c r="F28" s="7">
        <f>O18</f>
        <v>9.781932969544636</v>
      </c>
      <c r="G28" s="5" t="s">
        <v>30</v>
      </c>
      <c r="H28" s="5" t="s">
        <v>46</v>
      </c>
      <c r="I28" s="15" t="e">
        <f>O25</f>
        <v>#DIV/0!</v>
      </c>
      <c r="J28" s="16" t="s">
        <v>47</v>
      </c>
      <c r="K28" s="5" t="s">
        <v>48</v>
      </c>
      <c r="L28" s="7">
        <f>O18</f>
        <v>9.781932969544636</v>
      </c>
      <c r="M28" s="5" t="s">
        <v>30</v>
      </c>
      <c r="N28" s="5" t="s">
        <v>49</v>
      </c>
      <c r="O28" s="57" t="e">
        <f>(F28-I28)/L28</f>
        <v>#DIV/0!</v>
      </c>
      <c r="P28" s="5" t="s">
        <v>36</v>
      </c>
      <c r="Q28" s="21"/>
    </row>
    <row r="29" spans="2:26" x14ac:dyDescent="0.15">
      <c r="B29" s="20"/>
      <c r="C29" s="38" t="s">
        <v>50</v>
      </c>
      <c r="D29" s="38"/>
      <c r="F29" s="5"/>
      <c r="G29" s="5"/>
      <c r="H29" s="5"/>
      <c r="I29" s="5"/>
      <c r="J29" s="5"/>
      <c r="K29" s="5"/>
      <c r="L29" s="5"/>
      <c r="M29" s="5"/>
      <c r="N29" s="5"/>
      <c r="O29" s="5"/>
      <c r="P29" s="5"/>
      <c r="Q29" s="21"/>
    </row>
    <row r="30" spans="2:26" ht="14.25" thickBot="1" x14ac:dyDescent="0.2">
      <c r="B30" s="20"/>
      <c r="C30" s="38"/>
      <c r="D30" s="38"/>
      <c r="F30" s="5"/>
      <c r="G30" s="5"/>
      <c r="H30" s="5"/>
      <c r="I30" s="5"/>
      <c r="J30" s="5"/>
      <c r="K30" s="5"/>
      <c r="L30" s="5"/>
      <c r="M30" s="5"/>
      <c r="N30" s="5"/>
      <c r="O30" s="5"/>
      <c r="P30" s="5"/>
      <c r="Q30" s="21"/>
    </row>
    <row r="31" spans="2:26" ht="14.25" thickBot="1" x14ac:dyDescent="0.2">
      <c r="B31" s="20"/>
      <c r="C31" s="38" t="s">
        <v>51</v>
      </c>
      <c r="D31" s="38"/>
      <c r="F31" s="5"/>
      <c r="G31" s="5"/>
      <c r="H31" s="5"/>
      <c r="I31" s="5"/>
      <c r="J31" s="5"/>
      <c r="K31" s="5"/>
      <c r="L31" s="5"/>
      <c r="M31" s="5"/>
      <c r="N31" s="5"/>
      <c r="O31" s="40" t="e">
        <f>IF(O28&gt;=0.2,"適格","不適")</f>
        <v>#DIV/0!</v>
      </c>
      <c r="P31" s="5"/>
      <c r="Q31" s="21"/>
    </row>
    <row r="32" spans="2:26" x14ac:dyDescent="0.15">
      <c r="B32" s="22"/>
      <c r="C32" s="29"/>
      <c r="D32" s="29"/>
      <c r="E32" s="4"/>
      <c r="F32" s="8"/>
      <c r="G32" s="8"/>
      <c r="H32" s="8"/>
      <c r="I32" s="8"/>
      <c r="J32" s="8"/>
      <c r="K32" s="8"/>
      <c r="L32" s="8"/>
      <c r="M32" s="8"/>
      <c r="N32" s="8"/>
      <c r="O32" s="8"/>
      <c r="P32" s="8"/>
      <c r="Q32" s="23"/>
    </row>
    <row r="33" spans="2:24" x14ac:dyDescent="0.15">
      <c r="F33" s="5"/>
      <c r="G33" s="5"/>
      <c r="H33" s="5"/>
      <c r="I33" s="5"/>
      <c r="J33" s="5"/>
      <c r="K33" s="5"/>
      <c r="L33" s="5"/>
      <c r="M33" s="5"/>
      <c r="N33" s="5"/>
      <c r="O33" s="5"/>
      <c r="P33" s="5"/>
      <c r="X33" s="16"/>
    </row>
    <row r="34" spans="2:24" ht="17.25" x14ac:dyDescent="0.15">
      <c r="B34" s="17"/>
      <c r="C34" s="28" t="s">
        <v>52</v>
      </c>
      <c r="D34" s="28"/>
      <c r="E34" s="18"/>
      <c r="F34" s="24"/>
      <c r="G34" s="24"/>
      <c r="H34" s="24"/>
      <c r="I34" s="24"/>
      <c r="J34" s="24"/>
      <c r="K34" s="24"/>
      <c r="L34" s="24"/>
      <c r="M34" s="24"/>
      <c r="N34" s="24"/>
      <c r="O34" s="24"/>
      <c r="P34" s="24"/>
      <c r="Q34" s="19"/>
    </row>
    <row r="35" spans="2:24" ht="14.25" thickBot="1" x14ac:dyDescent="0.2">
      <c r="B35" s="20"/>
      <c r="F35" s="5"/>
      <c r="G35" s="5"/>
      <c r="H35" s="5"/>
      <c r="I35" s="5"/>
      <c r="J35" s="5"/>
      <c r="K35" s="5"/>
      <c r="L35" s="5"/>
      <c r="M35" s="5"/>
      <c r="N35" s="5"/>
      <c r="O35" s="5"/>
      <c r="P35" s="5"/>
      <c r="Q35" s="21"/>
    </row>
    <row r="36" spans="2:24" ht="14.25" thickBot="1" x14ac:dyDescent="0.2">
      <c r="B36" s="20"/>
      <c r="C36" t="s">
        <v>53</v>
      </c>
      <c r="F36" s="5"/>
      <c r="G36" s="5"/>
      <c r="H36" s="5"/>
      <c r="I36" s="5"/>
      <c r="J36" s="5"/>
      <c r="K36" s="5"/>
      <c r="L36" s="5"/>
      <c r="M36" s="5"/>
      <c r="N36" s="5"/>
      <c r="O36" s="225">
        <f>機器費用/1000</f>
        <v>0</v>
      </c>
      <c r="P36" s="5" t="s">
        <v>15</v>
      </c>
      <c r="Q36" s="21"/>
    </row>
    <row r="37" spans="2:24" ht="14.25" thickBot="1" x14ac:dyDescent="0.2">
      <c r="B37" s="20"/>
      <c r="C37" t="s">
        <v>54</v>
      </c>
      <c r="F37" s="5"/>
      <c r="G37" s="5"/>
      <c r="H37" s="5"/>
      <c r="K37" s="5"/>
      <c r="L37" s="5"/>
      <c r="M37" s="5"/>
      <c r="N37" s="5"/>
      <c r="O37" s="225">
        <f>設定費用/1000</f>
        <v>0</v>
      </c>
      <c r="P37" s="5" t="s">
        <v>15</v>
      </c>
      <c r="Q37" s="21"/>
    </row>
    <row r="38" spans="2:24" x14ac:dyDescent="0.15">
      <c r="B38" s="20"/>
      <c r="C38" s="4" t="s">
        <v>55</v>
      </c>
      <c r="D38" s="4"/>
      <c r="E38" s="4"/>
      <c r="F38" s="8"/>
      <c r="G38" s="8"/>
      <c r="H38" s="8"/>
      <c r="I38" s="10">
        <f>'利用が想定される中小企業（倉庫業）'!D4</f>
        <v>1.6679999999999999</v>
      </c>
      <c r="J38" s="8" t="s">
        <v>56</v>
      </c>
      <c r="K38" s="8" t="s">
        <v>27</v>
      </c>
      <c r="L38" s="10">
        <f>IF(製品区分=凡例!A11,8,16)</f>
        <v>16</v>
      </c>
      <c r="M38" s="8" t="s">
        <v>57</v>
      </c>
      <c r="N38" s="8" t="s">
        <v>29</v>
      </c>
      <c r="O38" s="87">
        <f>L38*I38</f>
        <v>26.687999999999999</v>
      </c>
      <c r="P38" s="8" t="s">
        <v>58</v>
      </c>
      <c r="Q38" s="21"/>
    </row>
    <row r="39" spans="2:24" x14ac:dyDescent="0.15">
      <c r="B39" s="20"/>
      <c r="C39" t="s">
        <v>59</v>
      </c>
      <c r="F39" s="5"/>
      <c r="G39" s="5"/>
      <c r="H39" s="5"/>
      <c r="I39" s="5"/>
      <c r="J39" s="5"/>
      <c r="K39" s="5"/>
      <c r="L39" s="5"/>
      <c r="M39" s="5"/>
      <c r="N39" s="5"/>
      <c r="O39" s="25">
        <f>SUM(O36:O38)</f>
        <v>26.687999999999999</v>
      </c>
      <c r="P39" s="5" t="s">
        <v>58</v>
      </c>
      <c r="Q39" s="21"/>
    </row>
    <row r="40" spans="2:24" x14ac:dyDescent="0.15">
      <c r="B40" s="20"/>
      <c r="F40" s="5"/>
      <c r="G40" s="5"/>
      <c r="H40" s="5"/>
      <c r="I40" s="5"/>
      <c r="J40" s="5"/>
      <c r="K40" s="5"/>
      <c r="L40" s="5"/>
      <c r="M40" s="5"/>
      <c r="N40" s="5"/>
      <c r="O40" s="26"/>
      <c r="P40" s="5"/>
      <c r="Q40" s="21"/>
    </row>
    <row r="41" spans="2:24" x14ac:dyDescent="0.15">
      <c r="B41" s="20"/>
      <c r="C41" t="s">
        <v>60</v>
      </c>
      <c r="F41" s="6">
        <f>'利用が想定される中小企業（倉庫業）'!D4</f>
        <v>1.6679999999999999</v>
      </c>
      <c r="G41" s="5" t="s">
        <v>56</v>
      </c>
      <c r="H41" s="5" t="s">
        <v>27</v>
      </c>
      <c r="I41" s="15" t="e">
        <f>(O18-O25)/'利用が想定される中小企業（倉庫業）'!D11</f>
        <v>#DIV/0!</v>
      </c>
      <c r="J41" s="5" t="s">
        <v>61</v>
      </c>
      <c r="K41" s="5" t="s">
        <v>27</v>
      </c>
      <c r="L41" s="6">
        <f>'利用が想定される中小企業（倉庫業）'!D7</f>
        <v>300</v>
      </c>
      <c r="M41" s="5" t="s">
        <v>62</v>
      </c>
      <c r="N41" s="5" t="s">
        <v>29</v>
      </c>
      <c r="O41" s="25" t="e">
        <f>F41*I41*L41</f>
        <v>#DIV/0!</v>
      </c>
      <c r="P41" s="5" t="s">
        <v>63</v>
      </c>
      <c r="Q41" s="21"/>
    </row>
    <row r="42" spans="2:24" x14ac:dyDescent="0.15">
      <c r="B42" s="20"/>
      <c r="C42" s="4" t="s">
        <v>64</v>
      </c>
      <c r="D42" s="4"/>
      <c r="E42" s="4"/>
      <c r="F42" s="4"/>
      <c r="G42" s="8"/>
      <c r="H42" s="8"/>
      <c r="I42" s="10">
        <f>'利用が想定される中小企業（倉庫業）'!D5</f>
        <v>70</v>
      </c>
      <c r="J42" s="8" t="s">
        <v>65</v>
      </c>
      <c r="K42" s="8" t="s">
        <v>27</v>
      </c>
      <c r="L42" s="76" t="e">
        <f>(O18-O25)/8/'利用が想定される中小企業（倉庫業）'!D11</f>
        <v>#DIV/0!</v>
      </c>
      <c r="M42" s="8" t="s">
        <v>66</v>
      </c>
      <c r="N42" s="8" t="s">
        <v>29</v>
      </c>
      <c r="O42" s="86" t="e">
        <f>I42*L42</f>
        <v>#DIV/0!</v>
      </c>
      <c r="P42" s="8" t="s">
        <v>63</v>
      </c>
      <c r="Q42" s="21"/>
    </row>
    <row r="43" spans="2:24" x14ac:dyDescent="0.15">
      <c r="B43" s="20"/>
      <c r="C43" t="s">
        <v>67</v>
      </c>
      <c r="F43" s="5"/>
      <c r="G43" s="5"/>
      <c r="H43" s="5"/>
      <c r="I43" s="56"/>
      <c r="J43" s="5"/>
      <c r="K43" s="5"/>
      <c r="L43" s="5"/>
      <c r="M43" s="5"/>
      <c r="N43" s="5"/>
      <c r="O43" s="25" t="e">
        <f>SUM(O41:O42)</f>
        <v>#DIV/0!</v>
      </c>
      <c r="P43" s="5" t="s">
        <v>63</v>
      </c>
      <c r="Q43" s="21"/>
    </row>
    <row r="44" spans="2:24" ht="14.25" thickBot="1" x14ac:dyDescent="0.2">
      <c r="B44" s="20"/>
      <c r="F44" s="5"/>
      <c r="G44" s="5"/>
      <c r="H44" s="5"/>
      <c r="I44" s="5"/>
      <c r="J44" s="5"/>
      <c r="K44" s="5"/>
      <c r="L44" s="5"/>
      <c r="M44" s="5"/>
      <c r="N44" s="5"/>
      <c r="O44" s="26"/>
      <c r="P44" s="5"/>
      <c r="Q44" s="21"/>
    </row>
    <row r="45" spans="2:24" ht="14.25" thickBot="1" x14ac:dyDescent="0.2">
      <c r="B45" s="20"/>
      <c r="C45" s="14" t="s">
        <v>68</v>
      </c>
      <c r="D45" s="14"/>
      <c r="E45" s="5"/>
      <c r="F45" s="5"/>
      <c r="G45" s="5"/>
      <c r="H45" s="5"/>
      <c r="I45" s="27">
        <f>O39</f>
        <v>26.687999999999999</v>
      </c>
      <c r="J45" s="5" t="s">
        <v>15</v>
      </c>
      <c r="K45" s="5" t="s">
        <v>48</v>
      </c>
      <c r="L45" s="25" t="e">
        <f>O43</f>
        <v>#DIV/0!</v>
      </c>
      <c r="M45" s="5" t="s">
        <v>63</v>
      </c>
      <c r="N45" s="5" t="s">
        <v>29</v>
      </c>
      <c r="O45" s="32" t="e">
        <f>I45/L45</f>
        <v>#DIV/0!</v>
      </c>
      <c r="P45" s="5" t="s">
        <v>69</v>
      </c>
      <c r="Q45" s="21"/>
    </row>
    <row r="46" spans="2:24" x14ac:dyDescent="0.15">
      <c r="B46" s="20"/>
      <c r="C46" s="38" t="s">
        <v>70</v>
      </c>
      <c r="D46" s="14"/>
      <c r="F46" s="5"/>
      <c r="G46" s="5"/>
      <c r="H46" s="5"/>
      <c r="I46" s="39"/>
      <c r="J46" s="5"/>
      <c r="K46" s="5"/>
      <c r="L46" s="5"/>
      <c r="M46" s="5"/>
      <c r="N46" s="5"/>
      <c r="O46" s="13"/>
      <c r="P46" s="5"/>
      <c r="Q46" s="21"/>
    </row>
    <row r="47" spans="2:24" ht="14.25" thickBot="1" x14ac:dyDescent="0.2">
      <c r="B47" s="20"/>
      <c r="C47" s="38"/>
      <c r="D47" s="14"/>
      <c r="F47" s="5"/>
      <c r="G47" s="5"/>
      <c r="H47" s="5"/>
      <c r="I47" s="39"/>
      <c r="J47" s="5"/>
      <c r="K47" s="5"/>
      <c r="L47" s="5"/>
      <c r="M47" s="5"/>
      <c r="N47" s="5"/>
      <c r="O47" s="13"/>
      <c r="P47" s="5"/>
      <c r="Q47" s="21"/>
    </row>
    <row r="48" spans="2:24" ht="14.25" thickBot="1" x14ac:dyDescent="0.2">
      <c r="B48" s="20"/>
      <c r="C48" s="38" t="s">
        <v>51</v>
      </c>
      <c r="D48" s="14"/>
      <c r="F48" s="5"/>
      <c r="G48" s="5"/>
      <c r="H48" s="5"/>
      <c r="I48" s="39"/>
      <c r="J48" s="5"/>
      <c r="K48" s="5"/>
      <c r="L48" s="5"/>
      <c r="M48" s="5"/>
      <c r="N48" s="5"/>
      <c r="O48" s="32" t="e">
        <f>IF(O45&lt;4,"適格","不適")</f>
        <v>#DIV/0!</v>
      </c>
      <c r="P48" s="5"/>
      <c r="Q48" s="21"/>
    </row>
    <row r="49" spans="2:18" x14ac:dyDescent="0.15">
      <c r="B49" s="22"/>
      <c r="C49" s="29"/>
      <c r="D49" s="29"/>
      <c r="E49" s="4"/>
      <c r="F49" s="4"/>
      <c r="G49" s="4"/>
      <c r="H49" s="4"/>
      <c r="I49" s="4"/>
      <c r="J49" s="4"/>
      <c r="K49" s="4"/>
      <c r="L49" s="4"/>
      <c r="M49" s="4"/>
      <c r="N49" s="4"/>
      <c r="O49" s="4"/>
      <c r="P49" s="4"/>
      <c r="Q49" s="23"/>
    </row>
    <row r="50" spans="2:18" x14ac:dyDescent="0.15">
      <c r="R50" s="33" t="s">
        <v>17</v>
      </c>
    </row>
  </sheetData>
  <sheetProtection algorithmName="SHA-512" hashValue="dTfSfK+piF/nVKKRYSfSTRYmXP32fvf4gn0cpP/WL5sayjTSxRLPPmFNadGZLL7mjSA+Sg9HM258a+aGCCAZCw==" saltValue="Za8DNpB+AMDyFMEtZJyRyg==" spinCount="100000" sheet="1" objects="1" scenarios="1"/>
  <mergeCells count="5">
    <mergeCell ref="N4:P4"/>
    <mergeCell ref="C2:P2"/>
    <mergeCell ref="D11:H11"/>
    <mergeCell ref="D6:M6"/>
    <mergeCell ref="D7:M7"/>
  </mergeCells>
  <phoneticPr fontId="1"/>
  <pageMargins left="0.7" right="0.7" top="0.75" bottom="0.75" header="0.3" footer="0.3"/>
  <pageSetup paperSize="9" scale="6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F0BB2-A553-43E9-BB58-95C140C81E2A}">
  <sheetPr codeName="Sheet7">
    <pageSetUpPr fitToPage="1"/>
  </sheetPr>
  <dimension ref="B2:X50"/>
  <sheetViews>
    <sheetView view="pageBreakPreview" zoomScale="85" zoomScaleNormal="100" zoomScaleSheetLayoutView="85" workbookViewId="0"/>
  </sheetViews>
  <sheetFormatPr defaultRowHeight="13.5" x14ac:dyDescent="0.15"/>
  <cols>
    <col min="1" max="2" width="2.75" customWidth="1"/>
    <col min="3" max="3" width="28.125" customWidth="1"/>
    <col min="4" max="4" width="10.375" customWidth="1"/>
    <col min="5" max="5" width="2.375" customWidth="1"/>
    <col min="6" max="6" width="6.375" customWidth="1"/>
    <col min="7" max="7" width="11.375" bestFit="1" customWidth="1"/>
    <col min="8" max="8" width="3.375" customWidth="1"/>
    <col min="9" max="9" width="9.875" customWidth="1"/>
    <col min="10" max="10" width="11.375" bestFit="1" customWidth="1"/>
    <col min="11" max="11" width="3.375" bestFit="1" customWidth="1"/>
    <col min="12" max="12" width="9.875" customWidth="1"/>
    <col min="13" max="13" width="9.375" customWidth="1"/>
    <col min="14" max="14" width="3.375" bestFit="1" customWidth="1"/>
    <col min="15" max="16" width="9.375" customWidth="1"/>
    <col min="17" max="18" width="2.875" customWidth="1"/>
  </cols>
  <sheetData>
    <row r="2" spans="2:17" ht="24" customHeight="1" x14ac:dyDescent="0.15">
      <c r="C2" s="268" t="s">
        <v>20</v>
      </c>
      <c r="D2" s="268"/>
      <c r="E2" s="268"/>
      <c r="F2" s="268"/>
      <c r="G2" s="268"/>
      <c r="H2" s="268"/>
      <c r="I2" s="268"/>
      <c r="J2" s="268"/>
      <c r="K2" s="268"/>
      <c r="L2" s="268"/>
      <c r="M2" s="268"/>
      <c r="N2" s="268"/>
      <c r="O2" s="268"/>
      <c r="P2" s="268"/>
    </row>
    <row r="3" spans="2:17" ht="7.5" customHeight="1" x14ac:dyDescent="0.15">
      <c r="C3" s="34"/>
      <c r="D3" s="34"/>
      <c r="E3" s="34"/>
      <c r="F3" s="34"/>
      <c r="G3" s="34"/>
      <c r="H3" s="34"/>
      <c r="I3" s="34"/>
      <c r="J3" s="34"/>
      <c r="K3" s="34"/>
      <c r="L3" s="34"/>
      <c r="M3" s="34"/>
      <c r="N3" s="34"/>
      <c r="O3" s="34"/>
      <c r="P3" s="34"/>
    </row>
    <row r="4" spans="2:17" ht="15" customHeight="1" x14ac:dyDescent="0.15">
      <c r="C4" s="140" t="str">
        <f>"【"&amp;製品カテゴリ&amp;"】"</f>
        <v>【AGV・AMR】</v>
      </c>
      <c r="D4" s="34"/>
      <c r="E4" s="34"/>
      <c r="F4" s="34"/>
      <c r="G4" s="34"/>
      <c r="H4" s="34"/>
      <c r="I4" s="34"/>
      <c r="J4" s="34"/>
      <c r="K4" s="35"/>
      <c r="L4" s="35"/>
      <c r="M4" s="35"/>
      <c r="N4" s="552" t="s">
        <v>21</v>
      </c>
      <c r="O4" s="552"/>
      <c r="P4" s="552"/>
    </row>
    <row r="5" spans="2:17" ht="7.5" customHeight="1" x14ac:dyDescent="0.15">
      <c r="C5" s="34"/>
      <c r="D5" s="34"/>
      <c r="E5" s="34"/>
      <c r="F5" s="34"/>
      <c r="G5" s="34"/>
      <c r="H5" s="34"/>
      <c r="I5" s="34"/>
      <c r="J5" s="34"/>
      <c r="K5" s="34"/>
      <c r="L5" s="34"/>
      <c r="M5" s="34"/>
      <c r="N5" s="34"/>
      <c r="O5" s="34"/>
      <c r="P5" s="34"/>
    </row>
    <row r="6" spans="2:17" x14ac:dyDescent="0.15">
      <c r="C6" s="11" t="s">
        <v>0</v>
      </c>
      <c r="D6" s="551">
        <f>製造事業者名</f>
        <v>0</v>
      </c>
      <c r="E6" s="551"/>
      <c r="F6" s="551"/>
      <c r="G6" s="551"/>
      <c r="H6" s="551"/>
      <c r="I6" s="551"/>
      <c r="J6" s="551"/>
      <c r="K6" s="551"/>
      <c r="L6" s="551"/>
      <c r="M6" s="551"/>
    </row>
    <row r="7" spans="2:17" x14ac:dyDescent="0.15">
      <c r="C7" s="11" t="s">
        <v>1</v>
      </c>
      <c r="D7" s="551">
        <f>型番</f>
        <v>0</v>
      </c>
      <c r="E7" s="551"/>
      <c r="F7" s="551"/>
      <c r="G7" s="551"/>
      <c r="H7" s="551"/>
      <c r="I7" s="551"/>
      <c r="J7" s="551"/>
      <c r="K7" s="551"/>
      <c r="L7" s="551"/>
      <c r="M7" s="551"/>
    </row>
    <row r="9" spans="2:17" x14ac:dyDescent="0.15">
      <c r="C9" s="1" t="s">
        <v>444</v>
      </c>
      <c r="D9" s="1"/>
    </row>
    <row r="10" spans="2:17" x14ac:dyDescent="0.15">
      <c r="C10" s="1"/>
      <c r="D10" s="1"/>
    </row>
    <row r="11" spans="2:17" x14ac:dyDescent="0.15">
      <c r="C11" s="37" t="s">
        <v>22</v>
      </c>
      <c r="D11" s="548" t="s">
        <v>71</v>
      </c>
      <c r="E11" s="549"/>
      <c r="F11" s="549"/>
      <c r="G11" s="549"/>
      <c r="H11" s="550"/>
    </row>
    <row r="13" spans="2:17" ht="17.25" x14ac:dyDescent="0.15">
      <c r="B13" s="17"/>
      <c r="C13" s="28" t="s">
        <v>24</v>
      </c>
      <c r="D13" s="28"/>
      <c r="E13" s="18"/>
      <c r="F13" s="18"/>
      <c r="G13" s="18"/>
      <c r="H13" s="18"/>
      <c r="I13" s="18"/>
      <c r="J13" s="18"/>
      <c r="K13" s="18"/>
      <c r="L13" s="18"/>
      <c r="M13" s="18"/>
      <c r="N13" s="18"/>
      <c r="O13" s="18"/>
      <c r="P13" s="18"/>
      <c r="Q13" s="19"/>
    </row>
    <row r="14" spans="2:17" x14ac:dyDescent="0.15">
      <c r="B14" s="20"/>
      <c r="C14" s="12"/>
      <c r="D14" s="12"/>
      <c r="Q14" s="21"/>
    </row>
    <row r="15" spans="2:17" x14ac:dyDescent="0.15">
      <c r="B15" s="20"/>
      <c r="C15" t="s">
        <v>25</v>
      </c>
      <c r="I15" s="72">
        <f>'利用が想定される中小企業（倉庫業）'!E9/2000*60</f>
        <v>1.6381488105247732</v>
      </c>
      <c r="J15" s="5" t="s">
        <v>26</v>
      </c>
      <c r="K15" s="5" t="s">
        <v>27</v>
      </c>
      <c r="L15" s="53">
        <f>'利用が想定される中小企業（倉庫業）'!E$10/100</f>
        <v>1111.4469152542374</v>
      </c>
      <c r="M15" s="5" t="s">
        <v>28</v>
      </c>
      <c r="N15" s="5" t="s">
        <v>29</v>
      </c>
      <c r="O15" s="7">
        <f>I15*L15/60</f>
        <v>30.345257369752623</v>
      </c>
      <c r="P15" s="5" t="s">
        <v>30</v>
      </c>
      <c r="Q15" s="21"/>
    </row>
    <row r="16" spans="2:17" x14ac:dyDescent="0.15">
      <c r="B16" s="20"/>
      <c r="C16" t="s">
        <v>31</v>
      </c>
      <c r="I16" s="72">
        <f>'利用が想定される中小企業（倉庫業）'!E9/4000*60</f>
        <v>0.81907440526238662</v>
      </c>
      <c r="J16" s="5" t="s">
        <v>26</v>
      </c>
      <c r="K16" s="5" t="s">
        <v>27</v>
      </c>
      <c r="L16" s="53">
        <f>'利用が想定される中小企業（倉庫業）'!E$10/100</f>
        <v>1111.4469152542374</v>
      </c>
      <c r="M16" s="5" t="s">
        <v>28</v>
      </c>
      <c r="N16" s="5" t="s">
        <v>29</v>
      </c>
      <c r="O16" s="7">
        <f>I16*L16/60</f>
        <v>15.172628684876312</v>
      </c>
      <c r="P16" s="5" t="s">
        <v>30</v>
      </c>
      <c r="Q16" s="21"/>
    </row>
    <row r="17" spans="2:17" x14ac:dyDescent="0.15">
      <c r="B17" s="20"/>
      <c r="C17" s="4" t="s">
        <v>32</v>
      </c>
      <c r="D17" s="4"/>
      <c r="E17" s="4"/>
      <c r="F17" s="4"/>
      <c r="G17" s="4"/>
      <c r="H17" s="4"/>
      <c r="I17" s="79">
        <v>0.5</v>
      </c>
      <c r="J17" s="8" t="s">
        <v>26</v>
      </c>
      <c r="K17" s="8" t="s">
        <v>27</v>
      </c>
      <c r="L17" s="54">
        <f>'利用が想定される中小企業（倉庫業）'!E$10/100</f>
        <v>1111.4469152542374</v>
      </c>
      <c r="M17" s="8" t="s">
        <v>28</v>
      </c>
      <c r="N17" s="8" t="s">
        <v>29</v>
      </c>
      <c r="O17" s="9">
        <f>I17*L17/60</f>
        <v>9.2620576271186454</v>
      </c>
      <c r="P17" s="8" t="s">
        <v>30</v>
      </c>
      <c r="Q17" s="21"/>
    </row>
    <row r="18" spans="2:17" x14ac:dyDescent="0.15">
      <c r="B18" s="20"/>
      <c r="C18" t="s">
        <v>33</v>
      </c>
      <c r="F18" s="5"/>
      <c r="G18" s="5"/>
      <c r="H18" s="5"/>
      <c r="I18" s="5"/>
      <c r="J18" s="5"/>
      <c r="K18" s="5"/>
      <c r="L18" s="5"/>
      <c r="M18" s="5"/>
      <c r="N18" s="5"/>
      <c r="O18" s="7">
        <f>SUM(O15:O17)</f>
        <v>54.779943681747575</v>
      </c>
      <c r="P18" s="5" t="s">
        <v>30</v>
      </c>
      <c r="Q18" s="21"/>
    </row>
    <row r="19" spans="2:17" x14ac:dyDescent="0.15">
      <c r="B19" s="20"/>
      <c r="C19" t="s">
        <v>34</v>
      </c>
      <c r="F19" s="5"/>
      <c r="G19" s="5"/>
      <c r="H19" s="5"/>
      <c r="I19" s="5"/>
      <c r="J19" s="5"/>
      <c r="K19" s="5"/>
      <c r="L19" s="5"/>
      <c r="M19" s="5"/>
      <c r="N19" s="5"/>
      <c r="O19" s="13"/>
      <c r="P19" s="5"/>
      <c r="Q19" s="21"/>
    </row>
    <row r="20" spans="2:17" x14ac:dyDescent="0.15">
      <c r="B20" s="20"/>
      <c r="F20" s="5"/>
      <c r="G20" s="5"/>
      <c r="H20" s="5"/>
      <c r="I20" s="5"/>
      <c r="J20" s="5"/>
      <c r="K20" s="5"/>
      <c r="L20" s="5"/>
      <c r="M20" s="5"/>
      <c r="N20" s="5"/>
      <c r="O20" s="13"/>
      <c r="P20" s="5"/>
      <c r="Q20" s="21"/>
    </row>
    <row r="21" spans="2:17" x14ac:dyDescent="0.15">
      <c r="B21" s="20"/>
      <c r="C21" t="s">
        <v>35</v>
      </c>
      <c r="F21" s="72">
        <f>'利用が想定される中小企業（倉庫業）'!E9/30+'利用が想定される中小企業（倉庫業）'!E9/60</f>
        <v>2.7302480175412884</v>
      </c>
      <c r="G21" s="5" t="s">
        <v>26</v>
      </c>
      <c r="H21" s="5" t="s">
        <v>27</v>
      </c>
      <c r="I21" s="52">
        <f>IF(人の同伴=凡例!$L$1,1,0)</f>
        <v>0</v>
      </c>
      <c r="J21" s="5" t="s">
        <v>36</v>
      </c>
      <c r="K21" s="5" t="s">
        <v>27</v>
      </c>
      <c r="L21" s="52" t="e">
        <f>'利用が想定される中小企業（倉庫業）'!E10/(最大搬送重量*0.8)</f>
        <v>#DIV/0!</v>
      </c>
      <c r="M21" s="5" t="s">
        <v>28</v>
      </c>
      <c r="N21" s="5" t="s">
        <v>29</v>
      </c>
      <c r="O21" s="75" t="e">
        <f>F21*I21*L21/60</f>
        <v>#DIV/0!</v>
      </c>
      <c r="P21" s="5" t="s">
        <v>30</v>
      </c>
      <c r="Q21" s="21"/>
    </row>
    <row r="22" spans="2:17" x14ac:dyDescent="0.15">
      <c r="B22" s="20"/>
      <c r="C22" t="s">
        <v>37</v>
      </c>
      <c r="F22" s="6">
        <v>0.5</v>
      </c>
      <c r="G22" s="5" t="s">
        <v>26</v>
      </c>
      <c r="H22" s="5" t="s">
        <v>27</v>
      </c>
      <c r="I22" s="52">
        <f>IF(積み下ろし方法=凡例!$N$1,0,1)</f>
        <v>1</v>
      </c>
      <c r="J22" s="5" t="s">
        <v>36</v>
      </c>
      <c r="K22" s="5" t="s">
        <v>27</v>
      </c>
      <c r="L22" s="52" t="e">
        <f>'利用が想定される中小企業（倉庫業）'!E10/(最大搬送重量*0.8)</f>
        <v>#DIV/0!</v>
      </c>
      <c r="M22" s="5" t="s">
        <v>28</v>
      </c>
      <c r="N22" s="5" t="s">
        <v>29</v>
      </c>
      <c r="O22" s="75" t="e">
        <f>F22*I22*L22/60</f>
        <v>#DIV/0!</v>
      </c>
      <c r="P22" s="5" t="s">
        <v>30</v>
      </c>
      <c r="Q22" s="21"/>
    </row>
    <row r="23" spans="2:17" x14ac:dyDescent="0.15">
      <c r="B23" s="20"/>
      <c r="C23" t="s">
        <v>38</v>
      </c>
      <c r="F23" s="6">
        <v>0.25</v>
      </c>
      <c r="G23" s="5" t="s">
        <v>26</v>
      </c>
      <c r="H23" s="5" t="s">
        <v>27</v>
      </c>
      <c r="I23" s="52">
        <f>IF(ルート設定方法=凡例!$N$1,0,1)</f>
        <v>1</v>
      </c>
      <c r="J23" s="5" t="s">
        <v>36</v>
      </c>
      <c r="K23" s="5" t="s">
        <v>27</v>
      </c>
      <c r="L23" s="52" t="e">
        <f>'利用が想定される中小企業（倉庫業）'!E10/(最大搬送重量*0.8)</f>
        <v>#DIV/0!</v>
      </c>
      <c r="M23" s="5" t="s">
        <v>28</v>
      </c>
      <c r="N23" s="5" t="s">
        <v>29</v>
      </c>
      <c r="O23" s="75" t="e">
        <f>F23*I23*L23/60</f>
        <v>#DIV/0!</v>
      </c>
      <c r="P23" s="5" t="s">
        <v>30</v>
      </c>
      <c r="Q23" s="21"/>
    </row>
    <row r="24" spans="2:17" x14ac:dyDescent="0.15">
      <c r="B24" s="20"/>
      <c r="C24" s="4" t="s">
        <v>39</v>
      </c>
      <c r="D24" s="4"/>
      <c r="E24" s="4"/>
      <c r="F24" s="8"/>
      <c r="G24" s="8"/>
      <c r="H24" s="8"/>
      <c r="I24" s="79">
        <f>5+30/'利用が想定される中小企業（倉庫業）'!E7</f>
        <v>5.0999999999999996</v>
      </c>
      <c r="J24" s="8" t="s">
        <v>40</v>
      </c>
      <c r="K24" s="8" t="s">
        <v>27</v>
      </c>
      <c r="L24" s="78" t="e">
        <f>'利用が想定される中小企業（倉庫業）'!E11</f>
        <v>#DIV/0!</v>
      </c>
      <c r="M24" s="8" t="s">
        <v>41</v>
      </c>
      <c r="N24" s="8" t="s">
        <v>29</v>
      </c>
      <c r="O24" s="9" t="e">
        <f>(I24*L24)/60</f>
        <v>#DIV/0!</v>
      </c>
      <c r="P24" s="8" t="s">
        <v>30</v>
      </c>
      <c r="Q24" s="21"/>
    </row>
    <row r="25" spans="2:17" x14ac:dyDescent="0.15">
      <c r="B25" s="20"/>
      <c r="C25" t="s">
        <v>42</v>
      </c>
      <c r="F25" s="5"/>
      <c r="G25" s="5"/>
      <c r="H25" s="5"/>
      <c r="I25" s="5"/>
      <c r="J25" s="5"/>
      <c r="K25" s="5"/>
      <c r="L25" s="5"/>
      <c r="M25" s="5"/>
      <c r="N25" s="5"/>
      <c r="O25" s="65" t="e">
        <f>SUM(O21:O24)</f>
        <v>#DIV/0!</v>
      </c>
      <c r="P25" s="5" t="s">
        <v>30</v>
      </c>
      <c r="Q25" s="21"/>
    </row>
    <row r="26" spans="2:17" x14ac:dyDescent="0.15">
      <c r="B26" s="20"/>
      <c r="C26" t="s">
        <v>43</v>
      </c>
      <c r="F26" s="5"/>
      <c r="G26" s="5"/>
      <c r="H26" s="5"/>
      <c r="I26" s="5"/>
      <c r="J26" s="5"/>
      <c r="K26" s="5"/>
      <c r="L26" s="5"/>
      <c r="M26" s="5"/>
      <c r="N26" s="5"/>
      <c r="O26" s="13"/>
      <c r="P26" s="5"/>
      <c r="Q26" s="21"/>
    </row>
    <row r="27" spans="2:17" ht="14.25" thickBot="1" x14ac:dyDescent="0.2">
      <c r="B27" s="20"/>
      <c r="F27" s="5"/>
      <c r="G27" s="5"/>
      <c r="H27" s="5"/>
      <c r="I27" s="5"/>
      <c r="J27" s="5"/>
      <c r="K27" s="5"/>
      <c r="L27" s="5"/>
      <c r="M27" s="5"/>
      <c r="N27" s="5"/>
      <c r="O27" s="13"/>
      <c r="P27" s="5"/>
      <c r="Q27" s="21"/>
    </row>
    <row r="28" spans="2:17" ht="14.25" thickBot="1" x14ac:dyDescent="0.2">
      <c r="B28" s="20"/>
      <c r="C28" s="14" t="s">
        <v>44</v>
      </c>
      <c r="D28" s="14"/>
      <c r="E28" s="11" t="s">
        <v>45</v>
      </c>
      <c r="F28" s="7">
        <f>O18</f>
        <v>54.779943681747575</v>
      </c>
      <c r="G28" s="5" t="s">
        <v>30</v>
      </c>
      <c r="H28" s="5" t="s">
        <v>46</v>
      </c>
      <c r="I28" s="15" t="e">
        <f>O25</f>
        <v>#DIV/0!</v>
      </c>
      <c r="J28" s="16" t="s">
        <v>47</v>
      </c>
      <c r="K28" s="5" t="s">
        <v>48</v>
      </c>
      <c r="L28" s="7">
        <f>O18</f>
        <v>54.779943681747575</v>
      </c>
      <c r="M28" s="5" t="s">
        <v>30</v>
      </c>
      <c r="N28" s="5" t="s">
        <v>49</v>
      </c>
      <c r="O28" s="57" t="e">
        <f>(F28-I28)/L28</f>
        <v>#DIV/0!</v>
      </c>
      <c r="P28" s="5" t="s">
        <v>36</v>
      </c>
      <c r="Q28" s="21"/>
    </row>
    <row r="29" spans="2:17" x14ac:dyDescent="0.15">
      <c r="B29" s="20"/>
      <c r="C29" s="38" t="s">
        <v>50</v>
      </c>
      <c r="D29" s="38"/>
      <c r="F29" s="5"/>
      <c r="G29" s="5"/>
      <c r="H29" s="5"/>
      <c r="I29" s="5"/>
      <c r="J29" s="5"/>
      <c r="K29" s="5"/>
      <c r="L29" s="5"/>
      <c r="M29" s="5"/>
      <c r="N29" s="5"/>
      <c r="O29" s="5"/>
      <c r="P29" s="5"/>
      <c r="Q29" s="21"/>
    </row>
    <row r="30" spans="2:17" ht="14.25" thickBot="1" x14ac:dyDescent="0.2">
      <c r="B30" s="20"/>
      <c r="C30" s="38"/>
      <c r="D30" s="38"/>
      <c r="F30" s="5"/>
      <c r="G30" s="5"/>
      <c r="H30" s="5"/>
      <c r="I30" s="5"/>
      <c r="J30" s="5"/>
      <c r="K30" s="5"/>
      <c r="L30" s="5"/>
      <c r="M30" s="5"/>
      <c r="N30" s="5"/>
      <c r="O30" s="5"/>
      <c r="P30" s="5"/>
      <c r="Q30" s="21"/>
    </row>
    <row r="31" spans="2:17" ht="14.25" thickBot="1" x14ac:dyDescent="0.2">
      <c r="B31" s="20"/>
      <c r="C31" s="38" t="s">
        <v>51</v>
      </c>
      <c r="D31" s="38"/>
      <c r="F31" s="5"/>
      <c r="G31" s="5"/>
      <c r="H31" s="5"/>
      <c r="I31" s="5"/>
      <c r="J31" s="5"/>
      <c r="K31" s="5"/>
      <c r="L31" s="5"/>
      <c r="M31" s="5"/>
      <c r="N31" s="5"/>
      <c r="O31" s="40" t="e">
        <f>IF(O28&gt;=0.2,"適格","不適")</f>
        <v>#DIV/0!</v>
      </c>
      <c r="P31" s="5"/>
      <c r="Q31" s="21"/>
    </row>
    <row r="32" spans="2:17" x14ac:dyDescent="0.15">
      <c r="B32" s="22"/>
      <c r="C32" s="29"/>
      <c r="D32" s="29"/>
      <c r="E32" s="4"/>
      <c r="F32" s="8"/>
      <c r="G32" s="8"/>
      <c r="H32" s="8"/>
      <c r="I32" s="8"/>
      <c r="J32" s="8"/>
      <c r="K32" s="8"/>
      <c r="L32" s="8"/>
      <c r="M32" s="8"/>
      <c r="N32" s="8"/>
      <c r="O32" s="8"/>
      <c r="P32" s="8"/>
      <c r="Q32" s="23"/>
    </row>
    <row r="33" spans="2:24" x14ac:dyDescent="0.15">
      <c r="F33" s="5"/>
      <c r="G33" s="5"/>
      <c r="H33" s="5"/>
      <c r="I33" s="5"/>
      <c r="J33" s="5"/>
      <c r="K33" s="5"/>
      <c r="L33" s="5"/>
      <c r="M33" s="5"/>
      <c r="N33" s="5"/>
      <c r="O33" s="5"/>
      <c r="P33" s="5"/>
      <c r="X33" s="16"/>
    </row>
    <row r="34" spans="2:24" ht="17.25" x14ac:dyDescent="0.15">
      <c r="B34" s="17"/>
      <c r="C34" s="28" t="s">
        <v>52</v>
      </c>
      <c r="D34" s="28"/>
      <c r="E34" s="18"/>
      <c r="F34" s="24"/>
      <c r="G34" s="24"/>
      <c r="H34" s="24"/>
      <c r="I34" s="24"/>
      <c r="J34" s="24"/>
      <c r="K34" s="24"/>
      <c r="L34" s="24"/>
      <c r="M34" s="24"/>
      <c r="N34" s="24"/>
      <c r="O34" s="24"/>
      <c r="P34" s="24"/>
      <c r="Q34" s="19"/>
    </row>
    <row r="35" spans="2:24" ht="14.25" thickBot="1" x14ac:dyDescent="0.2">
      <c r="B35" s="20"/>
      <c r="F35" s="5"/>
      <c r="G35" s="5"/>
      <c r="H35" s="5"/>
      <c r="I35" s="5"/>
      <c r="J35" s="5"/>
      <c r="K35" s="5"/>
      <c r="L35" s="5"/>
      <c r="M35" s="5"/>
      <c r="N35" s="5"/>
      <c r="O35" s="5"/>
      <c r="P35" s="5"/>
      <c r="Q35" s="21"/>
    </row>
    <row r="36" spans="2:24" ht="14.25" thickBot="1" x14ac:dyDescent="0.2">
      <c r="B36" s="20"/>
      <c r="C36" t="s">
        <v>53</v>
      </c>
      <c r="F36" s="5"/>
      <c r="G36" s="5"/>
      <c r="H36" s="5"/>
      <c r="I36" s="5"/>
      <c r="J36" s="5"/>
      <c r="K36" s="5"/>
      <c r="L36" s="5"/>
      <c r="M36" s="5"/>
      <c r="N36" s="5"/>
      <c r="O36" s="225">
        <f>機器費用/1000</f>
        <v>0</v>
      </c>
      <c r="P36" s="5" t="s">
        <v>15</v>
      </c>
      <c r="Q36" s="21"/>
    </row>
    <row r="37" spans="2:24" ht="14.25" thickBot="1" x14ac:dyDescent="0.2">
      <c r="B37" s="20"/>
      <c r="C37" t="s">
        <v>54</v>
      </c>
      <c r="F37" s="5"/>
      <c r="G37" s="5"/>
      <c r="H37" s="5"/>
      <c r="K37" s="5"/>
      <c r="L37" s="5"/>
      <c r="M37" s="5"/>
      <c r="N37" s="5"/>
      <c r="O37" s="225">
        <f>設定費用/1000</f>
        <v>0</v>
      </c>
      <c r="P37" s="5" t="s">
        <v>15</v>
      </c>
      <c r="Q37" s="21"/>
    </row>
    <row r="38" spans="2:24" x14ac:dyDescent="0.15">
      <c r="B38" s="20"/>
      <c r="C38" s="4" t="s">
        <v>55</v>
      </c>
      <c r="D38" s="4"/>
      <c r="E38" s="4"/>
      <c r="F38" s="8"/>
      <c r="G38" s="8"/>
      <c r="H38" s="8"/>
      <c r="I38" s="10">
        <f>'利用が想定される中小企業（倉庫業）'!E4</f>
        <v>1.6679999999999999</v>
      </c>
      <c r="J38" s="8" t="s">
        <v>56</v>
      </c>
      <c r="K38" s="8" t="s">
        <v>27</v>
      </c>
      <c r="L38" s="10">
        <f>IF(製品区分=凡例!A11,8,16)</f>
        <v>16</v>
      </c>
      <c r="M38" s="8" t="s">
        <v>57</v>
      </c>
      <c r="N38" s="8" t="s">
        <v>29</v>
      </c>
      <c r="O38" s="87">
        <f>L38*I38</f>
        <v>26.687999999999999</v>
      </c>
      <c r="P38" s="8" t="s">
        <v>58</v>
      </c>
      <c r="Q38" s="21"/>
    </row>
    <row r="39" spans="2:24" x14ac:dyDescent="0.15">
      <c r="B39" s="20"/>
      <c r="C39" t="s">
        <v>59</v>
      </c>
      <c r="F39" s="5"/>
      <c r="G39" s="5"/>
      <c r="H39" s="5"/>
      <c r="I39" s="5"/>
      <c r="J39" s="5"/>
      <c r="K39" s="5"/>
      <c r="L39" s="5"/>
      <c r="M39" s="5"/>
      <c r="N39" s="5"/>
      <c r="O39" s="25">
        <f>SUM(O36:O38)</f>
        <v>26.687999999999999</v>
      </c>
      <c r="P39" s="5" t="s">
        <v>58</v>
      </c>
      <c r="Q39" s="21"/>
    </row>
    <row r="40" spans="2:24" x14ac:dyDescent="0.15">
      <c r="B40" s="20"/>
      <c r="F40" s="5"/>
      <c r="G40" s="5"/>
      <c r="H40" s="5"/>
      <c r="I40" s="5"/>
      <c r="J40" s="5"/>
      <c r="K40" s="5"/>
      <c r="L40" s="5"/>
      <c r="M40" s="5"/>
      <c r="N40" s="5"/>
      <c r="O40" s="26"/>
      <c r="P40" s="5"/>
      <c r="Q40" s="21"/>
    </row>
    <row r="41" spans="2:24" x14ac:dyDescent="0.15">
      <c r="B41" s="20"/>
      <c r="C41" t="s">
        <v>60</v>
      </c>
      <c r="F41" s="6">
        <f>'利用が想定される中小企業（倉庫業）'!E4</f>
        <v>1.6679999999999999</v>
      </c>
      <c r="G41" s="5" t="s">
        <v>56</v>
      </c>
      <c r="H41" s="5" t="s">
        <v>27</v>
      </c>
      <c r="I41" s="15" t="e">
        <f>(O18-O25)/'利用が想定される中小企業（倉庫業）'!E11</f>
        <v>#DIV/0!</v>
      </c>
      <c r="J41" s="5" t="s">
        <v>61</v>
      </c>
      <c r="K41" s="5" t="s">
        <v>27</v>
      </c>
      <c r="L41" s="6">
        <f>'利用が想定される中小企業（倉庫業）'!E7</f>
        <v>300</v>
      </c>
      <c r="M41" s="5" t="s">
        <v>62</v>
      </c>
      <c r="N41" s="5" t="s">
        <v>29</v>
      </c>
      <c r="O41" s="25" t="e">
        <f>F41*I41*L41</f>
        <v>#DIV/0!</v>
      </c>
      <c r="P41" s="5" t="s">
        <v>63</v>
      </c>
      <c r="Q41" s="21"/>
    </row>
    <row r="42" spans="2:24" x14ac:dyDescent="0.15">
      <c r="B42" s="20"/>
      <c r="C42" s="4" t="s">
        <v>64</v>
      </c>
      <c r="D42" s="4"/>
      <c r="E42" s="4"/>
      <c r="F42" s="4"/>
      <c r="G42" s="8"/>
      <c r="H42" s="8"/>
      <c r="I42" s="10">
        <f>'利用が想定される中小企業（倉庫業）'!E5</f>
        <v>70</v>
      </c>
      <c r="J42" s="8" t="s">
        <v>65</v>
      </c>
      <c r="K42" s="8" t="s">
        <v>27</v>
      </c>
      <c r="L42" s="76" t="e">
        <f>(O18-O25)/8/'利用が想定される中小企業（倉庫業）'!E11</f>
        <v>#DIV/0!</v>
      </c>
      <c r="M42" s="8" t="s">
        <v>66</v>
      </c>
      <c r="N42" s="8" t="s">
        <v>29</v>
      </c>
      <c r="O42" s="62" t="e">
        <f>I42*L42</f>
        <v>#DIV/0!</v>
      </c>
      <c r="P42" s="8" t="s">
        <v>63</v>
      </c>
      <c r="Q42" s="21"/>
    </row>
    <row r="43" spans="2:24" x14ac:dyDescent="0.15">
      <c r="B43" s="20"/>
      <c r="C43" t="s">
        <v>67</v>
      </c>
      <c r="F43" s="5"/>
      <c r="G43" s="5"/>
      <c r="H43" s="5"/>
      <c r="I43" s="56"/>
      <c r="J43" s="5"/>
      <c r="K43" s="5"/>
      <c r="L43" s="5"/>
      <c r="M43" s="5"/>
      <c r="N43" s="5"/>
      <c r="O43" s="25" t="e">
        <f>SUM(O41:O42)</f>
        <v>#DIV/0!</v>
      </c>
      <c r="P43" s="5" t="s">
        <v>63</v>
      </c>
      <c r="Q43" s="21"/>
    </row>
    <row r="44" spans="2:24" ht="14.25" thickBot="1" x14ac:dyDescent="0.2">
      <c r="B44" s="20"/>
      <c r="F44" s="5"/>
      <c r="G44" s="5"/>
      <c r="H44" s="5"/>
      <c r="I44" s="5"/>
      <c r="J44" s="5"/>
      <c r="K44" s="5"/>
      <c r="L44" s="5"/>
      <c r="M44" s="5"/>
      <c r="N44" s="5"/>
      <c r="O44" s="26"/>
      <c r="P44" s="5"/>
      <c r="Q44" s="21"/>
    </row>
    <row r="45" spans="2:24" ht="14.25" thickBot="1" x14ac:dyDescent="0.2">
      <c r="B45" s="20"/>
      <c r="C45" s="14" t="s">
        <v>68</v>
      </c>
      <c r="D45" s="14"/>
      <c r="E45" s="5"/>
      <c r="F45" s="5"/>
      <c r="G45" s="5"/>
      <c r="H45" s="5"/>
      <c r="I45" s="27">
        <f>O39</f>
        <v>26.687999999999999</v>
      </c>
      <c r="J45" s="5" t="s">
        <v>15</v>
      </c>
      <c r="K45" s="5" t="s">
        <v>48</v>
      </c>
      <c r="L45" s="25" t="e">
        <f>O43</f>
        <v>#DIV/0!</v>
      </c>
      <c r="M45" s="5" t="s">
        <v>63</v>
      </c>
      <c r="N45" s="5" t="s">
        <v>29</v>
      </c>
      <c r="O45" s="32" t="e">
        <f>I45/L45</f>
        <v>#DIV/0!</v>
      </c>
      <c r="P45" s="5" t="s">
        <v>69</v>
      </c>
      <c r="Q45" s="21"/>
    </row>
    <row r="46" spans="2:24" x14ac:dyDescent="0.15">
      <c r="B46" s="20"/>
      <c r="C46" s="38" t="s">
        <v>70</v>
      </c>
      <c r="D46" s="14"/>
      <c r="F46" s="5"/>
      <c r="G46" s="5"/>
      <c r="H46" s="5"/>
      <c r="I46" s="39"/>
      <c r="J46" s="5"/>
      <c r="K46" s="5"/>
      <c r="L46" s="5"/>
      <c r="M46" s="5"/>
      <c r="N46" s="5"/>
      <c r="O46" s="13"/>
      <c r="P46" s="5"/>
      <c r="Q46" s="21"/>
    </row>
    <row r="47" spans="2:24" ht="14.25" thickBot="1" x14ac:dyDescent="0.2">
      <c r="B47" s="20"/>
      <c r="C47" s="38"/>
      <c r="D47" s="14"/>
      <c r="F47" s="5"/>
      <c r="G47" s="5"/>
      <c r="H47" s="5"/>
      <c r="I47" s="39"/>
      <c r="J47" s="5"/>
      <c r="K47" s="5"/>
      <c r="L47" s="5"/>
      <c r="M47" s="5"/>
      <c r="N47" s="5"/>
      <c r="O47" s="13"/>
      <c r="P47" s="5"/>
      <c r="Q47" s="21"/>
    </row>
    <row r="48" spans="2:24" ht="14.25" thickBot="1" x14ac:dyDescent="0.2">
      <c r="B48" s="20"/>
      <c r="C48" s="38" t="s">
        <v>51</v>
      </c>
      <c r="D48" s="14"/>
      <c r="F48" s="5"/>
      <c r="G48" s="5"/>
      <c r="H48" s="5"/>
      <c r="I48" s="39"/>
      <c r="J48" s="5"/>
      <c r="K48" s="5"/>
      <c r="L48" s="5"/>
      <c r="M48" s="5"/>
      <c r="N48" s="5"/>
      <c r="O48" s="32" t="e">
        <f>IF(O45&lt;4,"適格","不適")</f>
        <v>#DIV/0!</v>
      </c>
      <c r="P48" s="5"/>
      <c r="Q48" s="21"/>
    </row>
    <row r="49" spans="2:18" x14ac:dyDescent="0.15">
      <c r="B49" s="22"/>
      <c r="C49" s="29"/>
      <c r="D49" s="29"/>
      <c r="E49" s="4"/>
      <c r="F49" s="4"/>
      <c r="G49" s="4"/>
      <c r="H49" s="4"/>
      <c r="I49" s="4"/>
      <c r="J49" s="4"/>
      <c r="K49" s="4"/>
      <c r="L49" s="4"/>
      <c r="M49" s="4"/>
      <c r="N49" s="4"/>
      <c r="O49" s="4"/>
      <c r="P49" s="4"/>
      <c r="Q49" s="23"/>
    </row>
    <row r="50" spans="2:18" x14ac:dyDescent="0.15">
      <c r="R50" s="33" t="s">
        <v>17</v>
      </c>
    </row>
  </sheetData>
  <sheetProtection algorithmName="SHA-512" hashValue="B6wlNoXZeckUojvOe2Okz6fJ0sYbuRqjxzDTBxxoGh7UHR43Bvw9IHAWyYen8QMbvRbBqK0WZ2HZEjb6hhqAdA==" saltValue="nDt9gbx33piUAIHGJsXDqQ==" spinCount="100000" sheet="1" objects="1" scenarios="1"/>
  <mergeCells count="5">
    <mergeCell ref="C2:P2"/>
    <mergeCell ref="N4:P4"/>
    <mergeCell ref="D6:M6"/>
    <mergeCell ref="D7:M7"/>
    <mergeCell ref="D11:H11"/>
  </mergeCells>
  <phoneticPr fontId="1"/>
  <pageMargins left="0.7" right="0.7" top="0.75" bottom="0.75" header="0.3" footer="0.3"/>
  <pageSetup paperSize="9" scale="6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5EEFD-6263-4861-ACE8-A16CC1890325}">
  <sheetPr codeName="Sheet8">
    <pageSetUpPr fitToPage="1"/>
  </sheetPr>
  <dimension ref="B2:X50"/>
  <sheetViews>
    <sheetView view="pageBreakPreview" zoomScale="85" zoomScaleNormal="100" zoomScaleSheetLayoutView="85" workbookViewId="0"/>
  </sheetViews>
  <sheetFormatPr defaultRowHeight="13.5" x14ac:dyDescent="0.15"/>
  <cols>
    <col min="1" max="2" width="2.75" customWidth="1"/>
    <col min="3" max="3" width="28.125" customWidth="1"/>
    <col min="4" max="4" width="10.375" customWidth="1"/>
    <col min="5" max="5" width="2.375" customWidth="1"/>
    <col min="6" max="6" width="7.375" bestFit="1" customWidth="1"/>
    <col min="7" max="7" width="11.375" bestFit="1" customWidth="1"/>
    <col min="8" max="8" width="3.375" customWidth="1"/>
    <col min="9" max="9" width="11.625" customWidth="1"/>
    <col min="10" max="10" width="11.375" bestFit="1" customWidth="1"/>
    <col min="11" max="11" width="3.375" bestFit="1" customWidth="1"/>
    <col min="12" max="12" width="11.625" customWidth="1"/>
    <col min="13" max="13" width="9.375" customWidth="1"/>
    <col min="14" max="14" width="3.375" bestFit="1" customWidth="1"/>
    <col min="15" max="16" width="9.375" customWidth="1"/>
    <col min="17" max="18" width="2.875" customWidth="1"/>
  </cols>
  <sheetData>
    <row r="2" spans="2:17" ht="24" customHeight="1" x14ac:dyDescent="0.15">
      <c r="C2" s="268" t="s">
        <v>20</v>
      </c>
      <c r="D2" s="268"/>
      <c r="E2" s="268"/>
      <c r="F2" s="268"/>
      <c r="G2" s="268"/>
      <c r="H2" s="268"/>
      <c r="I2" s="268"/>
      <c r="J2" s="268"/>
      <c r="K2" s="268"/>
      <c r="L2" s="268"/>
      <c r="M2" s="268"/>
      <c r="N2" s="268"/>
      <c r="O2" s="268"/>
      <c r="P2" s="268"/>
    </row>
    <row r="3" spans="2:17" ht="7.5" customHeight="1" x14ac:dyDescent="0.15">
      <c r="C3" s="34"/>
      <c r="D3" s="34"/>
      <c r="E3" s="34"/>
      <c r="F3" s="34"/>
      <c r="G3" s="34"/>
      <c r="H3" s="34"/>
      <c r="I3" s="34"/>
      <c r="J3" s="34"/>
      <c r="K3" s="34"/>
      <c r="L3" s="34"/>
      <c r="M3" s="34"/>
      <c r="N3" s="34"/>
      <c r="O3" s="34"/>
      <c r="P3" s="34"/>
    </row>
    <row r="4" spans="2:17" ht="15" customHeight="1" x14ac:dyDescent="0.15">
      <c r="C4" s="140" t="str">
        <f>"【"&amp;製品カテゴリ&amp;"】"</f>
        <v>【AGV・AMR】</v>
      </c>
      <c r="D4" s="34"/>
      <c r="E4" s="34"/>
      <c r="F4" s="34"/>
      <c r="G4" s="34"/>
      <c r="H4" s="34"/>
      <c r="I4" s="34"/>
      <c r="J4" s="34"/>
      <c r="K4" s="35"/>
      <c r="L4" s="35"/>
      <c r="M4" s="35"/>
      <c r="N4" s="552" t="s">
        <v>21</v>
      </c>
      <c r="O4" s="552"/>
      <c r="P4" s="552"/>
    </row>
    <row r="5" spans="2:17" ht="7.5" customHeight="1" x14ac:dyDescent="0.15">
      <c r="C5" s="34"/>
      <c r="D5" s="34"/>
      <c r="E5" s="34"/>
      <c r="F5" s="34"/>
      <c r="G5" s="34"/>
      <c r="H5" s="34"/>
      <c r="I5" s="34"/>
      <c r="J5" s="34"/>
      <c r="K5" s="34"/>
      <c r="L5" s="34"/>
      <c r="M5" s="34"/>
      <c r="N5" s="34"/>
      <c r="O5" s="34"/>
      <c r="P5" s="34"/>
    </row>
    <row r="6" spans="2:17" x14ac:dyDescent="0.15">
      <c r="C6" s="11" t="s">
        <v>0</v>
      </c>
      <c r="D6" s="551">
        <f>製造事業者名</f>
        <v>0</v>
      </c>
      <c r="E6" s="551"/>
      <c r="F6" s="551"/>
      <c r="G6" s="551"/>
      <c r="H6" s="551"/>
      <c r="I6" s="551"/>
      <c r="J6" s="551"/>
      <c r="K6" s="551"/>
      <c r="L6" s="551"/>
      <c r="M6" s="551"/>
    </row>
    <row r="7" spans="2:17" x14ac:dyDescent="0.15">
      <c r="C7" s="11" t="s">
        <v>1</v>
      </c>
      <c r="D7" s="551">
        <f>型番</f>
        <v>0</v>
      </c>
      <c r="E7" s="551"/>
      <c r="F7" s="551"/>
      <c r="G7" s="551"/>
      <c r="H7" s="551"/>
      <c r="I7" s="551"/>
      <c r="J7" s="551"/>
      <c r="K7" s="551"/>
      <c r="L7" s="551"/>
      <c r="M7" s="551"/>
    </row>
    <row r="9" spans="2:17" x14ac:dyDescent="0.15">
      <c r="C9" s="1" t="s">
        <v>444</v>
      </c>
      <c r="D9" s="1"/>
    </row>
    <row r="10" spans="2:17" x14ac:dyDescent="0.15">
      <c r="C10" s="1"/>
      <c r="D10" s="1"/>
    </row>
    <row r="11" spans="2:17" x14ac:dyDescent="0.15">
      <c r="C11" s="37" t="s">
        <v>22</v>
      </c>
      <c r="D11" s="548" t="s">
        <v>72</v>
      </c>
      <c r="E11" s="549"/>
      <c r="F11" s="549"/>
      <c r="G11" s="549"/>
      <c r="H11" s="550"/>
    </row>
    <row r="13" spans="2:17" ht="17.25" x14ac:dyDescent="0.15">
      <c r="B13" s="17"/>
      <c r="C13" s="28" t="s">
        <v>24</v>
      </c>
      <c r="D13" s="28"/>
      <c r="E13" s="18"/>
      <c r="F13" s="18"/>
      <c r="G13" s="18"/>
      <c r="H13" s="18"/>
      <c r="I13" s="18"/>
      <c r="J13" s="18"/>
      <c r="K13" s="18"/>
      <c r="L13" s="18"/>
      <c r="M13" s="18"/>
      <c r="N13" s="18"/>
      <c r="O13" s="18"/>
      <c r="P13" s="18"/>
      <c r="Q13" s="19"/>
    </row>
    <row r="14" spans="2:17" x14ac:dyDescent="0.15">
      <c r="B14" s="20"/>
      <c r="C14" s="12"/>
      <c r="D14" s="12"/>
      <c r="Q14" s="21"/>
    </row>
    <row r="15" spans="2:17" x14ac:dyDescent="0.15">
      <c r="B15" s="20"/>
      <c r="C15" t="s">
        <v>25</v>
      </c>
      <c r="I15" s="72">
        <f>'利用が想定される中小企業（倉庫業）'!F9/2000*60</f>
        <v>2.1491763343392547</v>
      </c>
      <c r="J15" s="5" t="s">
        <v>26</v>
      </c>
      <c r="K15" s="5" t="s">
        <v>27</v>
      </c>
      <c r="L15" s="53">
        <f>'利用が想定される中小企業（倉庫業）'!F$10/100</f>
        <v>1913.0491258741258</v>
      </c>
      <c r="M15" s="5" t="s">
        <v>28</v>
      </c>
      <c r="N15" s="5" t="s">
        <v>29</v>
      </c>
      <c r="O15" s="7">
        <f>I15*L15/60</f>
        <v>68.524665129284486</v>
      </c>
      <c r="P15" s="5" t="s">
        <v>30</v>
      </c>
      <c r="Q15" s="21"/>
    </row>
    <row r="16" spans="2:17" x14ac:dyDescent="0.15">
      <c r="B16" s="20"/>
      <c r="C16" t="s">
        <v>31</v>
      </c>
      <c r="I16" s="72">
        <f>'利用が想定される中小企業（倉庫業）'!F9/4000*60</f>
        <v>1.0745881671696274</v>
      </c>
      <c r="J16" s="5" t="s">
        <v>26</v>
      </c>
      <c r="K16" s="5" t="s">
        <v>27</v>
      </c>
      <c r="L16" s="53">
        <f>'利用が想定される中小企業（倉庫業）'!F$10/100</f>
        <v>1913.0491258741258</v>
      </c>
      <c r="M16" s="5" t="s">
        <v>28</v>
      </c>
      <c r="N16" s="5" t="s">
        <v>29</v>
      </c>
      <c r="O16" s="7">
        <f>I16*L16/60</f>
        <v>34.262332564642243</v>
      </c>
      <c r="P16" s="5" t="s">
        <v>30</v>
      </c>
      <c r="Q16" s="21"/>
    </row>
    <row r="17" spans="2:17" x14ac:dyDescent="0.15">
      <c r="B17" s="20"/>
      <c r="C17" s="4" t="s">
        <v>32</v>
      </c>
      <c r="D17" s="4"/>
      <c r="E17" s="4"/>
      <c r="F17" s="4"/>
      <c r="G17" s="4"/>
      <c r="H17" s="4"/>
      <c r="I17" s="79">
        <v>0.5</v>
      </c>
      <c r="J17" s="8" t="s">
        <v>26</v>
      </c>
      <c r="K17" s="8" t="s">
        <v>27</v>
      </c>
      <c r="L17" s="54">
        <f>'利用が想定される中小企業（倉庫業）'!F$10/100</f>
        <v>1913.0491258741258</v>
      </c>
      <c r="M17" s="8" t="s">
        <v>28</v>
      </c>
      <c r="N17" s="8" t="s">
        <v>29</v>
      </c>
      <c r="O17" s="9">
        <f>I17*L17/60</f>
        <v>15.942076048951048</v>
      </c>
      <c r="P17" s="8" t="s">
        <v>30</v>
      </c>
      <c r="Q17" s="21"/>
    </row>
    <row r="18" spans="2:17" x14ac:dyDescent="0.15">
      <c r="B18" s="20"/>
      <c r="C18" t="s">
        <v>33</v>
      </c>
      <c r="F18" s="5"/>
      <c r="G18" s="5"/>
      <c r="H18" s="5"/>
      <c r="I18" s="5"/>
      <c r="J18" s="5"/>
      <c r="K18" s="5"/>
      <c r="L18" s="5"/>
      <c r="M18" s="5"/>
      <c r="N18" s="5"/>
      <c r="O18" s="7">
        <f>SUM(O15:O17)</f>
        <v>118.72907374287779</v>
      </c>
      <c r="P18" s="5" t="s">
        <v>30</v>
      </c>
      <c r="Q18" s="21"/>
    </row>
    <row r="19" spans="2:17" x14ac:dyDescent="0.15">
      <c r="B19" s="20"/>
      <c r="C19" t="s">
        <v>34</v>
      </c>
      <c r="F19" s="5"/>
      <c r="G19" s="5"/>
      <c r="H19" s="5"/>
      <c r="I19" s="5"/>
      <c r="J19" s="5"/>
      <c r="K19" s="5"/>
      <c r="L19" s="5"/>
      <c r="M19" s="5"/>
      <c r="N19" s="5"/>
      <c r="O19" s="13"/>
      <c r="P19" s="5"/>
      <c r="Q19" s="21"/>
    </row>
    <row r="20" spans="2:17" x14ac:dyDescent="0.15">
      <c r="B20" s="20"/>
      <c r="F20" s="5"/>
      <c r="G20" s="5"/>
      <c r="H20" s="5"/>
      <c r="I20" s="5"/>
      <c r="J20" s="5"/>
      <c r="K20" s="5"/>
      <c r="L20" s="5"/>
      <c r="M20" s="5"/>
      <c r="N20" s="5"/>
      <c r="O20" s="13"/>
      <c r="P20" s="5"/>
      <c r="Q20" s="21"/>
    </row>
    <row r="21" spans="2:17" x14ac:dyDescent="0.15">
      <c r="B21" s="20"/>
      <c r="C21" t="s">
        <v>35</v>
      </c>
      <c r="F21" s="72">
        <f>'利用が想定される中小企業（倉庫業）'!F9/30+'利用が想定される中小企業（倉庫業）'!F9/60</f>
        <v>3.5819605572320907</v>
      </c>
      <c r="G21" s="5" t="s">
        <v>26</v>
      </c>
      <c r="H21" s="5" t="s">
        <v>27</v>
      </c>
      <c r="I21" s="52">
        <f>IF(人の同伴=凡例!$L$1,1,0)</f>
        <v>0</v>
      </c>
      <c r="J21" s="5" t="s">
        <v>36</v>
      </c>
      <c r="K21" s="5" t="s">
        <v>27</v>
      </c>
      <c r="L21" s="52" t="e">
        <f>'利用が想定される中小企業（倉庫業）'!F10/(最大搬送重量*0.8)</f>
        <v>#DIV/0!</v>
      </c>
      <c r="M21" s="5" t="s">
        <v>28</v>
      </c>
      <c r="N21" s="5" t="s">
        <v>29</v>
      </c>
      <c r="O21" s="75" t="e">
        <f>F21*I21*L21/60</f>
        <v>#DIV/0!</v>
      </c>
      <c r="P21" s="5" t="s">
        <v>30</v>
      </c>
      <c r="Q21" s="21"/>
    </row>
    <row r="22" spans="2:17" x14ac:dyDescent="0.15">
      <c r="B22" s="20"/>
      <c r="C22" t="s">
        <v>37</v>
      </c>
      <c r="F22" s="6">
        <v>0.5</v>
      </c>
      <c r="G22" s="5" t="s">
        <v>26</v>
      </c>
      <c r="H22" s="5" t="s">
        <v>27</v>
      </c>
      <c r="I22" s="52">
        <f>IF(積み下ろし方法=凡例!$N$1,0,1)</f>
        <v>1</v>
      </c>
      <c r="J22" s="5" t="s">
        <v>36</v>
      </c>
      <c r="K22" s="5" t="s">
        <v>27</v>
      </c>
      <c r="L22" s="52" t="e">
        <f>'利用が想定される中小企業（倉庫業）'!F10/(最大搬送重量*0.8)</f>
        <v>#DIV/0!</v>
      </c>
      <c r="M22" s="5" t="s">
        <v>28</v>
      </c>
      <c r="N22" s="5" t="s">
        <v>29</v>
      </c>
      <c r="O22" s="75" t="e">
        <f>F22*I22*L22/60</f>
        <v>#DIV/0!</v>
      </c>
      <c r="P22" s="5" t="s">
        <v>30</v>
      </c>
      <c r="Q22" s="21"/>
    </row>
    <row r="23" spans="2:17" x14ac:dyDescent="0.15">
      <c r="B23" s="20"/>
      <c r="C23" t="s">
        <v>38</v>
      </c>
      <c r="F23" s="6">
        <v>0.25</v>
      </c>
      <c r="G23" s="5" t="s">
        <v>26</v>
      </c>
      <c r="H23" s="5" t="s">
        <v>27</v>
      </c>
      <c r="I23" s="52">
        <f>IF(ルート設定方法=凡例!$N$1,0,1)</f>
        <v>1</v>
      </c>
      <c r="J23" s="5" t="s">
        <v>36</v>
      </c>
      <c r="K23" s="5" t="s">
        <v>27</v>
      </c>
      <c r="L23" s="52" t="e">
        <f>'利用が想定される中小企業（倉庫業）'!F10/(最大搬送重量*0.8)</f>
        <v>#DIV/0!</v>
      </c>
      <c r="M23" s="5" t="s">
        <v>28</v>
      </c>
      <c r="N23" s="5" t="s">
        <v>29</v>
      </c>
      <c r="O23" s="75" t="e">
        <f>F23*I23*L23/60</f>
        <v>#DIV/0!</v>
      </c>
      <c r="P23" s="5" t="s">
        <v>30</v>
      </c>
      <c r="Q23" s="21"/>
    </row>
    <row r="24" spans="2:17" x14ac:dyDescent="0.15">
      <c r="B24" s="20"/>
      <c r="C24" s="4" t="s">
        <v>39</v>
      </c>
      <c r="D24" s="4"/>
      <c r="E24" s="4"/>
      <c r="F24" s="8"/>
      <c r="G24" s="8"/>
      <c r="H24" s="8"/>
      <c r="I24" s="79">
        <f>5+30/'利用が想定される中小企業（倉庫業）'!F7</f>
        <v>5.0999999999999996</v>
      </c>
      <c r="J24" s="8" t="s">
        <v>40</v>
      </c>
      <c r="K24" s="8" t="s">
        <v>27</v>
      </c>
      <c r="L24" s="78" t="e">
        <f>'利用が想定される中小企業（倉庫業）'!F11</f>
        <v>#DIV/0!</v>
      </c>
      <c r="M24" s="8" t="s">
        <v>41</v>
      </c>
      <c r="N24" s="8" t="s">
        <v>29</v>
      </c>
      <c r="O24" s="9" t="e">
        <f>(I24*L24)/60</f>
        <v>#DIV/0!</v>
      </c>
      <c r="P24" s="8" t="s">
        <v>30</v>
      </c>
      <c r="Q24" s="21"/>
    </row>
    <row r="25" spans="2:17" x14ac:dyDescent="0.15">
      <c r="B25" s="20"/>
      <c r="C25" t="s">
        <v>42</v>
      </c>
      <c r="F25" s="5"/>
      <c r="G25" s="5"/>
      <c r="H25" s="5"/>
      <c r="I25" s="5"/>
      <c r="J25" s="5"/>
      <c r="K25" s="5"/>
      <c r="L25" s="5"/>
      <c r="M25" s="5"/>
      <c r="N25" s="5"/>
      <c r="O25" s="65" t="e">
        <f>SUM(O21:O24)</f>
        <v>#DIV/0!</v>
      </c>
      <c r="P25" s="5" t="s">
        <v>30</v>
      </c>
      <c r="Q25" s="21"/>
    </row>
    <row r="26" spans="2:17" x14ac:dyDescent="0.15">
      <c r="B26" s="20"/>
      <c r="C26" t="s">
        <v>43</v>
      </c>
      <c r="F26" s="5"/>
      <c r="G26" s="5"/>
      <c r="H26" s="5"/>
      <c r="I26" s="5"/>
      <c r="J26" s="5"/>
      <c r="K26" s="5"/>
      <c r="L26" s="5"/>
      <c r="M26" s="5"/>
      <c r="N26" s="5"/>
      <c r="O26" s="13"/>
      <c r="P26" s="5"/>
      <c r="Q26" s="21"/>
    </row>
    <row r="27" spans="2:17" ht="14.25" thickBot="1" x14ac:dyDescent="0.2">
      <c r="B27" s="20"/>
      <c r="F27" s="5"/>
      <c r="G27" s="5"/>
      <c r="H27" s="5"/>
      <c r="I27" s="5"/>
      <c r="J27" s="5"/>
      <c r="K27" s="5"/>
      <c r="L27" s="5"/>
      <c r="M27" s="5"/>
      <c r="N27" s="5"/>
      <c r="O27" s="13"/>
      <c r="P27" s="5"/>
      <c r="Q27" s="21"/>
    </row>
    <row r="28" spans="2:17" ht="14.25" thickBot="1" x14ac:dyDescent="0.2">
      <c r="B28" s="20"/>
      <c r="C28" s="14" t="s">
        <v>44</v>
      </c>
      <c r="D28" s="14"/>
      <c r="E28" s="11" t="s">
        <v>45</v>
      </c>
      <c r="F28" s="7">
        <f>O18</f>
        <v>118.72907374287779</v>
      </c>
      <c r="G28" s="5" t="s">
        <v>30</v>
      </c>
      <c r="H28" s="5" t="s">
        <v>46</v>
      </c>
      <c r="I28" s="15" t="e">
        <f>O25</f>
        <v>#DIV/0!</v>
      </c>
      <c r="J28" s="16" t="s">
        <v>47</v>
      </c>
      <c r="K28" s="5" t="s">
        <v>48</v>
      </c>
      <c r="L28" s="7">
        <f>O18</f>
        <v>118.72907374287779</v>
      </c>
      <c r="M28" s="5" t="s">
        <v>30</v>
      </c>
      <c r="N28" s="5" t="s">
        <v>49</v>
      </c>
      <c r="O28" s="57" t="e">
        <f>(F28-I28)/L28</f>
        <v>#DIV/0!</v>
      </c>
      <c r="P28" s="5" t="s">
        <v>36</v>
      </c>
      <c r="Q28" s="21"/>
    </row>
    <row r="29" spans="2:17" x14ac:dyDescent="0.15">
      <c r="B29" s="20"/>
      <c r="C29" s="38" t="s">
        <v>50</v>
      </c>
      <c r="D29" s="38"/>
      <c r="F29" s="5"/>
      <c r="G29" s="5"/>
      <c r="H29" s="5"/>
      <c r="I29" s="5"/>
      <c r="J29" s="5"/>
      <c r="K29" s="5"/>
      <c r="L29" s="5"/>
      <c r="M29" s="5"/>
      <c r="N29" s="5"/>
      <c r="O29" s="5"/>
      <c r="P29" s="5"/>
      <c r="Q29" s="21"/>
    </row>
    <row r="30" spans="2:17" ht="14.25" thickBot="1" x14ac:dyDescent="0.2">
      <c r="B30" s="20"/>
      <c r="C30" s="38"/>
      <c r="D30" s="38"/>
      <c r="F30" s="5"/>
      <c r="G30" s="5"/>
      <c r="H30" s="5"/>
      <c r="I30" s="5"/>
      <c r="J30" s="5"/>
      <c r="K30" s="5"/>
      <c r="L30" s="5"/>
      <c r="M30" s="5"/>
      <c r="N30" s="5"/>
      <c r="O30" s="5"/>
      <c r="P30" s="5"/>
      <c r="Q30" s="21"/>
    </row>
    <row r="31" spans="2:17" ht="14.25" thickBot="1" x14ac:dyDescent="0.2">
      <c r="B31" s="20"/>
      <c r="C31" s="38" t="s">
        <v>51</v>
      </c>
      <c r="D31" s="38"/>
      <c r="F31" s="5"/>
      <c r="G31" s="5"/>
      <c r="H31" s="5"/>
      <c r="I31" s="5"/>
      <c r="J31" s="5"/>
      <c r="K31" s="5"/>
      <c r="L31" s="5"/>
      <c r="M31" s="5"/>
      <c r="N31" s="5"/>
      <c r="O31" s="40" t="e">
        <f>IF(O28&gt;=0.2,"適格","不適")</f>
        <v>#DIV/0!</v>
      </c>
      <c r="P31" s="5"/>
      <c r="Q31" s="21"/>
    </row>
    <row r="32" spans="2:17" x14ac:dyDescent="0.15">
      <c r="B32" s="22"/>
      <c r="C32" s="29"/>
      <c r="D32" s="29"/>
      <c r="E32" s="4"/>
      <c r="F32" s="8"/>
      <c r="G32" s="8"/>
      <c r="H32" s="8"/>
      <c r="I32" s="8"/>
      <c r="J32" s="8"/>
      <c r="K32" s="8"/>
      <c r="L32" s="8"/>
      <c r="M32" s="8"/>
      <c r="N32" s="8"/>
      <c r="O32" s="8"/>
      <c r="P32" s="8"/>
      <c r="Q32" s="23"/>
    </row>
    <row r="33" spans="2:24" x14ac:dyDescent="0.15">
      <c r="F33" s="5"/>
      <c r="G33" s="5"/>
      <c r="H33" s="5"/>
      <c r="I33" s="5"/>
      <c r="J33" s="5"/>
      <c r="K33" s="5"/>
      <c r="L33" s="5"/>
      <c r="M33" s="5"/>
      <c r="N33" s="5"/>
      <c r="O33" s="5"/>
      <c r="P33" s="5"/>
      <c r="X33" s="16"/>
    </row>
    <row r="34" spans="2:24" ht="17.25" x14ac:dyDescent="0.15">
      <c r="B34" s="17"/>
      <c r="C34" s="28" t="s">
        <v>52</v>
      </c>
      <c r="D34" s="28"/>
      <c r="E34" s="18"/>
      <c r="F34" s="24"/>
      <c r="G34" s="24"/>
      <c r="H34" s="24"/>
      <c r="I34" s="24"/>
      <c r="J34" s="24"/>
      <c r="K34" s="24"/>
      <c r="L34" s="24"/>
      <c r="M34" s="24"/>
      <c r="N34" s="24"/>
      <c r="O34" s="24"/>
      <c r="P34" s="24"/>
      <c r="Q34" s="19"/>
    </row>
    <row r="35" spans="2:24" ht="14.25" thickBot="1" x14ac:dyDescent="0.2">
      <c r="B35" s="20"/>
      <c r="F35" s="5"/>
      <c r="G35" s="5"/>
      <c r="H35" s="5"/>
      <c r="I35" s="5"/>
      <c r="J35" s="5"/>
      <c r="K35" s="5"/>
      <c r="L35" s="5"/>
      <c r="M35" s="5"/>
      <c r="N35" s="5"/>
      <c r="O35" s="5"/>
      <c r="P35" s="5"/>
      <c r="Q35" s="21"/>
    </row>
    <row r="36" spans="2:24" ht="14.25" thickBot="1" x14ac:dyDescent="0.2">
      <c r="B36" s="20"/>
      <c r="C36" t="s">
        <v>53</v>
      </c>
      <c r="F36" s="5"/>
      <c r="G36" s="5"/>
      <c r="H36" s="5"/>
      <c r="K36" s="5"/>
      <c r="L36" s="5"/>
      <c r="M36" s="5"/>
      <c r="N36" s="5"/>
      <c r="O36" s="225">
        <f>機器費用/1000</f>
        <v>0</v>
      </c>
      <c r="P36" s="5" t="s">
        <v>15</v>
      </c>
      <c r="Q36" s="21"/>
    </row>
    <row r="37" spans="2:24" ht="14.25" thickBot="1" x14ac:dyDescent="0.2">
      <c r="B37" s="20"/>
      <c r="C37" t="s">
        <v>54</v>
      </c>
      <c r="F37" s="5"/>
      <c r="G37" s="5"/>
      <c r="H37" s="5"/>
      <c r="I37" s="5"/>
      <c r="J37" s="5"/>
      <c r="K37" s="5"/>
      <c r="L37" s="5"/>
      <c r="M37" s="5"/>
      <c r="N37" s="5"/>
      <c r="O37" s="225">
        <f>設定費用/1000</f>
        <v>0</v>
      </c>
      <c r="P37" s="5" t="s">
        <v>15</v>
      </c>
      <c r="Q37" s="21"/>
    </row>
    <row r="38" spans="2:24" x14ac:dyDescent="0.15">
      <c r="B38" s="20"/>
      <c r="C38" s="4" t="s">
        <v>55</v>
      </c>
      <c r="D38" s="4"/>
      <c r="E38" s="4"/>
      <c r="F38" s="8"/>
      <c r="G38" s="8"/>
      <c r="H38" s="8"/>
      <c r="I38" s="10">
        <f>'利用が想定される中小企業（倉庫業）'!F4</f>
        <v>1.6679999999999999</v>
      </c>
      <c r="J38" s="8" t="s">
        <v>56</v>
      </c>
      <c r="K38" s="8" t="s">
        <v>27</v>
      </c>
      <c r="L38" s="10">
        <f>IF(製品区分=凡例!A11,8,16)</f>
        <v>16</v>
      </c>
      <c r="M38" s="8" t="s">
        <v>57</v>
      </c>
      <c r="N38" s="8" t="s">
        <v>29</v>
      </c>
      <c r="O38" s="87">
        <f>L38*I38</f>
        <v>26.687999999999999</v>
      </c>
      <c r="P38" s="8" t="s">
        <v>58</v>
      </c>
      <c r="Q38" s="21"/>
    </row>
    <row r="39" spans="2:24" x14ac:dyDescent="0.15">
      <c r="B39" s="20"/>
      <c r="C39" t="s">
        <v>59</v>
      </c>
      <c r="F39" s="5"/>
      <c r="G39" s="5"/>
      <c r="H39" s="5"/>
      <c r="I39" s="5"/>
      <c r="J39" s="5"/>
      <c r="K39" s="5"/>
      <c r="L39" s="5"/>
      <c r="M39" s="5"/>
      <c r="N39" s="5"/>
      <c r="O39" s="25">
        <f>SUM(O36:O38)</f>
        <v>26.687999999999999</v>
      </c>
      <c r="P39" s="5" t="s">
        <v>58</v>
      </c>
      <c r="Q39" s="21"/>
    </row>
    <row r="40" spans="2:24" x14ac:dyDescent="0.15">
      <c r="B40" s="20"/>
      <c r="F40" s="5"/>
      <c r="G40" s="5"/>
      <c r="H40" s="5"/>
      <c r="I40" s="5"/>
      <c r="J40" s="5"/>
      <c r="K40" s="5"/>
      <c r="L40" s="5"/>
      <c r="M40" s="5"/>
      <c r="N40" s="5"/>
      <c r="O40" s="26"/>
      <c r="P40" s="5"/>
      <c r="Q40" s="21"/>
    </row>
    <row r="41" spans="2:24" x14ac:dyDescent="0.15">
      <c r="B41" s="20"/>
      <c r="C41" t="s">
        <v>60</v>
      </c>
      <c r="F41" s="6">
        <f>'利用が想定される中小企業（倉庫業）'!F4</f>
        <v>1.6679999999999999</v>
      </c>
      <c r="G41" s="5" t="s">
        <v>56</v>
      </c>
      <c r="H41" s="5" t="s">
        <v>27</v>
      </c>
      <c r="I41" s="15" t="e">
        <f>(O18-O25)/'利用が想定される中小企業（倉庫業）'!F11</f>
        <v>#DIV/0!</v>
      </c>
      <c r="J41" s="5" t="s">
        <v>61</v>
      </c>
      <c r="K41" s="5" t="s">
        <v>27</v>
      </c>
      <c r="L41" s="6">
        <f>'利用が想定される中小企業（倉庫業）'!F7</f>
        <v>300</v>
      </c>
      <c r="M41" s="5" t="s">
        <v>62</v>
      </c>
      <c r="N41" s="5" t="s">
        <v>29</v>
      </c>
      <c r="O41" s="25" t="e">
        <f>F41*I41*L41</f>
        <v>#DIV/0!</v>
      </c>
      <c r="P41" s="5" t="s">
        <v>63</v>
      </c>
      <c r="Q41" s="21"/>
    </row>
    <row r="42" spans="2:24" x14ac:dyDescent="0.15">
      <c r="B42" s="20"/>
      <c r="C42" s="4" t="s">
        <v>64</v>
      </c>
      <c r="D42" s="4"/>
      <c r="E42" s="4"/>
      <c r="F42" s="4"/>
      <c r="G42" s="8"/>
      <c r="H42" s="8"/>
      <c r="I42" s="10">
        <f>'利用が想定される中小企業（倉庫業）'!F5</f>
        <v>70</v>
      </c>
      <c r="J42" s="8" t="s">
        <v>65</v>
      </c>
      <c r="K42" s="8" t="s">
        <v>27</v>
      </c>
      <c r="L42" s="76" t="e">
        <f>(O18-O25)/8/'利用が想定される中小企業（倉庫業）'!F11</f>
        <v>#DIV/0!</v>
      </c>
      <c r="M42" s="8" t="s">
        <v>66</v>
      </c>
      <c r="N42" s="8" t="s">
        <v>29</v>
      </c>
      <c r="O42" s="86" t="e">
        <f>I42*L42</f>
        <v>#DIV/0!</v>
      </c>
      <c r="P42" s="8" t="s">
        <v>63</v>
      </c>
      <c r="Q42" s="21"/>
    </row>
    <row r="43" spans="2:24" x14ac:dyDescent="0.15">
      <c r="B43" s="20"/>
      <c r="C43" t="s">
        <v>67</v>
      </c>
      <c r="F43" s="5"/>
      <c r="G43" s="5"/>
      <c r="H43" s="5"/>
      <c r="I43" s="56"/>
      <c r="J43" s="5"/>
      <c r="K43" s="5"/>
      <c r="L43" s="5"/>
      <c r="M43" s="5"/>
      <c r="N43" s="5"/>
      <c r="O43" s="25" t="e">
        <f>SUM(O41:O42)</f>
        <v>#DIV/0!</v>
      </c>
      <c r="P43" s="5" t="s">
        <v>63</v>
      </c>
      <c r="Q43" s="21"/>
    </row>
    <row r="44" spans="2:24" ht="14.25" thickBot="1" x14ac:dyDescent="0.2">
      <c r="B44" s="20"/>
      <c r="F44" s="5"/>
      <c r="G44" s="5"/>
      <c r="H44" s="5"/>
      <c r="I44" s="5"/>
      <c r="J44" s="5"/>
      <c r="K44" s="5"/>
      <c r="L44" s="5"/>
      <c r="M44" s="5"/>
      <c r="N44" s="5"/>
      <c r="O44" s="26"/>
      <c r="P44" s="5"/>
      <c r="Q44" s="21"/>
    </row>
    <row r="45" spans="2:24" ht="14.25" thickBot="1" x14ac:dyDescent="0.2">
      <c r="B45" s="20"/>
      <c r="C45" s="14" t="s">
        <v>68</v>
      </c>
      <c r="D45" s="14"/>
      <c r="E45" s="5"/>
      <c r="F45" s="5"/>
      <c r="G45" s="5"/>
      <c r="H45" s="5"/>
      <c r="I45" s="27">
        <f>O39</f>
        <v>26.687999999999999</v>
      </c>
      <c r="J45" s="5" t="s">
        <v>15</v>
      </c>
      <c r="K45" s="5" t="s">
        <v>48</v>
      </c>
      <c r="L45" s="25" t="e">
        <f>O43</f>
        <v>#DIV/0!</v>
      </c>
      <c r="M45" s="5" t="s">
        <v>63</v>
      </c>
      <c r="N45" s="5" t="s">
        <v>29</v>
      </c>
      <c r="O45" s="32" t="e">
        <f>I45/L45</f>
        <v>#DIV/0!</v>
      </c>
      <c r="P45" s="5" t="s">
        <v>69</v>
      </c>
      <c r="Q45" s="21"/>
    </row>
    <row r="46" spans="2:24" x14ac:dyDescent="0.15">
      <c r="B46" s="20"/>
      <c r="C46" s="38" t="s">
        <v>70</v>
      </c>
      <c r="D46" s="14"/>
      <c r="F46" s="5"/>
      <c r="G46" s="5"/>
      <c r="H46" s="5"/>
      <c r="I46" s="39"/>
      <c r="J46" s="5"/>
      <c r="K46" s="5"/>
      <c r="L46" s="5"/>
      <c r="M46" s="5"/>
      <c r="N46" s="5"/>
      <c r="O46" s="13"/>
      <c r="P46" s="5"/>
      <c r="Q46" s="21"/>
    </row>
    <row r="47" spans="2:24" ht="14.25" thickBot="1" x14ac:dyDescent="0.2">
      <c r="B47" s="20"/>
      <c r="C47" s="38"/>
      <c r="D47" s="14"/>
      <c r="F47" s="5"/>
      <c r="G47" s="5"/>
      <c r="H47" s="5"/>
      <c r="I47" s="39"/>
      <c r="J47" s="5"/>
      <c r="K47" s="5"/>
      <c r="L47" s="5"/>
      <c r="M47" s="5"/>
      <c r="N47" s="5"/>
      <c r="O47" s="13"/>
      <c r="P47" s="5"/>
      <c r="Q47" s="21"/>
    </row>
    <row r="48" spans="2:24" ht="14.25" thickBot="1" x14ac:dyDescent="0.2">
      <c r="B48" s="20"/>
      <c r="C48" s="38" t="s">
        <v>51</v>
      </c>
      <c r="D48" s="14"/>
      <c r="F48" s="5"/>
      <c r="G48" s="5"/>
      <c r="H48" s="5"/>
      <c r="I48" s="39"/>
      <c r="J48" s="5"/>
      <c r="K48" s="5"/>
      <c r="L48" s="5"/>
      <c r="M48" s="5"/>
      <c r="N48" s="5"/>
      <c r="O48" s="32" t="e">
        <f>IF(O45&lt;4,"適格","不適")</f>
        <v>#DIV/0!</v>
      </c>
      <c r="P48" s="5"/>
      <c r="Q48" s="21"/>
    </row>
    <row r="49" spans="2:18" x14ac:dyDescent="0.15">
      <c r="B49" s="22"/>
      <c r="C49" s="29"/>
      <c r="D49" s="29"/>
      <c r="E49" s="4"/>
      <c r="F49" s="4"/>
      <c r="G49" s="4"/>
      <c r="H49" s="4"/>
      <c r="I49" s="4"/>
      <c r="J49" s="4"/>
      <c r="K49" s="4"/>
      <c r="L49" s="4"/>
      <c r="M49" s="4"/>
      <c r="N49" s="4"/>
      <c r="O49" s="4"/>
      <c r="P49" s="4"/>
      <c r="Q49" s="23"/>
    </row>
    <row r="50" spans="2:18" x14ac:dyDescent="0.15">
      <c r="R50" s="33" t="s">
        <v>17</v>
      </c>
    </row>
  </sheetData>
  <sheetProtection algorithmName="SHA-512" hashValue="yJqd78aT3ArD2arns4CcfTuusZ5w+z6v/yonlPkTTLefjdYHQIkn3SKtbkNof62EJFOdMZQ5VxdcpQ1bnTo4YA==" saltValue="E4CFIVNIPLscY92FcFAGpQ==" spinCount="100000" sheet="1" objects="1" scenarios="1"/>
  <mergeCells count="5">
    <mergeCell ref="C2:P2"/>
    <mergeCell ref="N4:P4"/>
    <mergeCell ref="D6:M6"/>
    <mergeCell ref="D7:M7"/>
    <mergeCell ref="D11:H11"/>
  </mergeCells>
  <phoneticPr fontId="1"/>
  <pageMargins left="0.7" right="0.7" top="0.75" bottom="0.75" header="0.3" footer="0.3"/>
  <pageSetup paperSize="9" scale="6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6CC4C-720E-473E-8BAF-1657372C2D8F}">
  <sheetPr codeName="Sheet9">
    <pageSetUpPr fitToPage="1"/>
  </sheetPr>
  <dimension ref="A1:I18"/>
  <sheetViews>
    <sheetView view="pageBreakPreview" zoomScaleNormal="100" zoomScaleSheetLayoutView="100" workbookViewId="0">
      <selection sqref="A1:B1"/>
    </sheetView>
  </sheetViews>
  <sheetFormatPr defaultRowHeight="13.5" x14ac:dyDescent="0.15"/>
  <cols>
    <col min="1" max="1" width="3.875" bestFit="1" customWidth="1"/>
    <col min="2" max="2" width="22.375" bestFit="1" customWidth="1"/>
    <col min="3" max="3" width="10" bestFit="1" customWidth="1"/>
    <col min="4" max="6" width="10.375" customWidth="1"/>
    <col min="7" max="7" width="50.375" customWidth="1"/>
    <col min="8" max="9" width="9.125" bestFit="1" customWidth="1"/>
  </cols>
  <sheetData>
    <row r="1" spans="1:9" s="5" customFormat="1" x14ac:dyDescent="0.15">
      <c r="A1" s="556" t="s">
        <v>73</v>
      </c>
      <c r="B1" s="557"/>
      <c r="C1" s="66"/>
      <c r="D1" s="556" t="s">
        <v>74</v>
      </c>
      <c r="E1" s="558"/>
      <c r="F1" s="558"/>
      <c r="G1" s="55" t="s">
        <v>75</v>
      </c>
    </row>
    <row r="2" spans="1:9" s="5" customFormat="1" x14ac:dyDescent="0.15">
      <c r="A2" s="559"/>
      <c r="B2" s="560"/>
      <c r="C2" s="67" t="s">
        <v>76</v>
      </c>
      <c r="D2" s="68" t="s">
        <v>77</v>
      </c>
      <c r="E2" s="68" t="s">
        <v>78</v>
      </c>
      <c r="F2" s="68" t="s">
        <v>79</v>
      </c>
      <c r="G2" s="61"/>
    </row>
    <row r="3" spans="1:9" ht="39.75" customHeight="1" x14ac:dyDescent="0.15">
      <c r="A3" s="46" t="str">
        <f t="shared" ref="A3:A11" si="0">"("&amp;ROW()-2&amp;")"</f>
        <v>(1)</v>
      </c>
      <c r="B3" s="42" t="s">
        <v>4</v>
      </c>
      <c r="C3" s="70"/>
      <c r="D3" s="553" t="s">
        <v>80</v>
      </c>
      <c r="E3" s="554"/>
      <c r="F3" s="555"/>
      <c r="G3" s="49" t="s">
        <v>81</v>
      </c>
    </row>
    <row r="4" spans="1:9" ht="39.75" customHeight="1" x14ac:dyDescent="0.15">
      <c r="A4" s="47" t="str">
        <f t="shared" ref="A4:A9" si="1">"("&amp;ROW()-2&amp;")"</f>
        <v>(2)</v>
      </c>
      <c r="B4" s="44" t="s">
        <v>82</v>
      </c>
      <c r="C4" s="44" t="s">
        <v>83</v>
      </c>
      <c r="D4" s="47">
        <v>1.6679999999999999</v>
      </c>
      <c r="E4" s="47">
        <v>1.6679999999999999</v>
      </c>
      <c r="F4" s="47">
        <v>1.6679999999999999</v>
      </c>
      <c r="G4" s="51" t="s">
        <v>84</v>
      </c>
    </row>
    <row r="5" spans="1:9" ht="39.75" customHeight="1" x14ac:dyDescent="0.15">
      <c r="A5" s="47" t="str">
        <f t="shared" si="1"/>
        <v>(3)</v>
      </c>
      <c r="B5" s="44" t="s">
        <v>85</v>
      </c>
      <c r="C5" s="44" t="s">
        <v>86</v>
      </c>
      <c r="D5" s="47">
        <v>70</v>
      </c>
      <c r="E5" s="47">
        <v>70</v>
      </c>
      <c r="F5" s="47">
        <v>70</v>
      </c>
      <c r="G5" s="51" t="s">
        <v>87</v>
      </c>
    </row>
    <row r="6" spans="1:9" ht="39.75" customHeight="1" x14ac:dyDescent="0.15">
      <c r="A6" s="47" t="str">
        <f t="shared" si="1"/>
        <v>(4)</v>
      </c>
      <c r="B6" s="44" t="s">
        <v>88</v>
      </c>
      <c r="C6" s="44" t="s">
        <v>89</v>
      </c>
      <c r="D6" s="69">
        <v>4.0813148788927336</v>
      </c>
      <c r="E6" s="69">
        <v>14.08677966101695</v>
      </c>
      <c r="F6" s="69">
        <v>24.246503496503497</v>
      </c>
      <c r="G6" s="51" t="s">
        <v>90</v>
      </c>
    </row>
    <row r="7" spans="1:9" ht="39.75" customHeight="1" x14ac:dyDescent="0.15">
      <c r="A7" s="47" t="str">
        <f t="shared" si="1"/>
        <v>(5)</v>
      </c>
      <c r="B7" s="81" t="s">
        <v>91</v>
      </c>
      <c r="C7" s="81" t="s">
        <v>92</v>
      </c>
      <c r="D7" s="80">
        <v>300</v>
      </c>
      <c r="E7" s="80">
        <v>300</v>
      </c>
      <c r="F7" s="80">
        <v>300</v>
      </c>
      <c r="G7" s="83"/>
    </row>
    <row r="8" spans="1:9" ht="39.75" customHeight="1" x14ac:dyDescent="0.15">
      <c r="A8" s="80" t="str">
        <f t="shared" si="1"/>
        <v>(6)</v>
      </c>
      <c r="B8" s="81" t="s">
        <v>93</v>
      </c>
      <c r="C8" s="81" t="s">
        <v>94</v>
      </c>
      <c r="D8" s="85">
        <f>4*SQRT(D6*635/12)</f>
        <v>58.783613908377397</v>
      </c>
      <c r="E8" s="85">
        <f t="shared" ref="E8:F8" si="2">4*SQRT(E6*635/12)</f>
        <v>109.20992070165154</v>
      </c>
      <c r="F8" s="85">
        <f t="shared" si="2"/>
        <v>143.27842228928364</v>
      </c>
      <c r="G8" s="82" t="s">
        <v>95</v>
      </c>
    </row>
    <row r="9" spans="1:9" ht="39.75" customHeight="1" x14ac:dyDescent="0.15">
      <c r="A9" s="47" t="str">
        <f t="shared" si="1"/>
        <v>(7)</v>
      </c>
      <c r="B9" s="44" t="s">
        <v>96</v>
      </c>
      <c r="C9" s="44" t="s">
        <v>97</v>
      </c>
      <c r="D9" s="69">
        <f>D8/2</f>
        <v>29.391806954188699</v>
      </c>
      <c r="E9" s="69">
        <f t="shared" ref="E9:F9" si="3">E8/2</f>
        <v>54.60496035082577</v>
      </c>
      <c r="F9" s="69">
        <f t="shared" si="3"/>
        <v>71.63921114464182</v>
      </c>
      <c r="G9" s="51" t="s">
        <v>98</v>
      </c>
    </row>
    <row r="10" spans="1:9" ht="39.75" customHeight="1" x14ac:dyDescent="0.15">
      <c r="A10" s="47" t="str">
        <f t="shared" si="0"/>
        <v>(8)</v>
      </c>
      <c r="B10" s="44" t="s">
        <v>99</v>
      </c>
      <c r="C10" s="44" t="s">
        <v>100</v>
      </c>
      <c r="D10" s="69">
        <f>4734000/D7*D6/2</f>
        <v>32201.574394463667</v>
      </c>
      <c r="E10" s="69">
        <f t="shared" ref="E10:F10" si="4">4734000/E7*E6/2</f>
        <v>111144.69152542374</v>
      </c>
      <c r="F10" s="69">
        <f t="shared" si="4"/>
        <v>191304.91258741257</v>
      </c>
      <c r="G10" s="51" t="s">
        <v>101</v>
      </c>
    </row>
    <row r="11" spans="1:9" ht="39.75" customHeight="1" x14ac:dyDescent="0.15">
      <c r="A11" s="48" t="str">
        <f t="shared" si="0"/>
        <v>(9)</v>
      </c>
      <c r="B11" s="45" t="s">
        <v>102</v>
      </c>
      <c r="C11" s="45" t="s">
        <v>103</v>
      </c>
      <c r="D11" s="48" t="e">
        <f>IF((D10*D9)/(((最大搬送重量*0.8)*(3600/60+((3600/60)/2))/2*60)*8)&lt;1,ROUNDUP((D10*D9)/(((最大搬送重量*0.8)*(3600/60+((3600/60)/2))/2*60)*8),0),ROUND((D10*D9)/(((最大搬送重量*0.8)*(3600/60+((3600/60)/2))/2*60)*8),0))</f>
        <v>#DIV/0!</v>
      </c>
      <c r="E11" s="48" t="e">
        <f>IF((E10*E9)/(((最大搬送重量*0.8)*(3600/60+((3600/60)/2))/2*60)*8)&lt;1,ROUNDUP((E10*E9)/(((最大搬送重量*0.8)*(3600/60+((3600/60)/2))/2*60)*8),0),ROUND((E10*E9)/(((最大搬送重量*0.8)*(3600/60+((3600/60)/2))/2*60)*8),0))</f>
        <v>#DIV/0!</v>
      </c>
      <c r="F11" s="48" t="e">
        <f>IF((F10*F9)/(((最大搬送重量*0.8)*(3600/60+((3600/60)/2))/2*60)*8)&lt;1,ROUNDUP((F10*F9)/(((最大搬送重量*0.8)*(3600/60+((3600/60)/2))/2*60)*8),0),ROUND((F10*F9)/(((最大搬送重量*0.8)*(3600/60+((3600/60)/2))/2*60)*8),0))</f>
        <v>#DIV/0!</v>
      </c>
      <c r="G11" s="50" t="s">
        <v>104</v>
      </c>
    </row>
    <row r="12" spans="1:9" ht="15.75" x14ac:dyDescent="0.15">
      <c r="H12" s="63"/>
      <c r="I12" s="63"/>
    </row>
    <row r="13" spans="1:9" ht="15.75" x14ac:dyDescent="0.15">
      <c r="H13" s="63"/>
      <c r="I13" s="63"/>
    </row>
    <row r="14" spans="1:9" ht="15.75" x14ac:dyDescent="0.15">
      <c r="H14" s="63"/>
      <c r="I14" s="63"/>
    </row>
    <row r="15" spans="1:9" ht="15.75" x14ac:dyDescent="0.15">
      <c r="H15" s="63"/>
      <c r="I15" s="63"/>
    </row>
    <row r="16" spans="1:9" ht="15.75" x14ac:dyDescent="0.15">
      <c r="H16" s="64"/>
      <c r="I16" s="64"/>
    </row>
    <row r="17" spans="8:9" ht="15.75" x14ac:dyDescent="0.15">
      <c r="H17" s="63"/>
      <c r="I17" s="63"/>
    </row>
    <row r="18" spans="8:9" ht="15.75" x14ac:dyDescent="0.15">
      <c r="H18" s="63"/>
      <c r="I18" s="63"/>
    </row>
  </sheetData>
  <sheetProtection algorithmName="SHA-512" hashValue="KS8xtG/NGhqXrD2hXJjwGaO2j/KR5ABGy1B1IGMf1MJ5LpwGkAfIxtlx8XYHzomRfJl/fN1s6ttZE68k6lrKxw==" saltValue="/iB+dLdhRwmtfG4zZhi25g==" spinCount="100000" sheet="1" objects="1" scenarios="1"/>
  <mergeCells count="4">
    <mergeCell ref="D3:F3"/>
    <mergeCell ref="A1:B1"/>
    <mergeCell ref="D1:F1"/>
    <mergeCell ref="A2:B2"/>
  </mergeCells>
  <phoneticPr fontId="1"/>
  <pageMargins left="0.7" right="0.7" top="0.75" bottom="0.75" header="0.3" footer="0.3"/>
  <pageSetup paperSize="9" scale="7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D4C73-FEB3-46A2-9F40-D256C351D8C3}">
  <sheetPr codeName="Sheet10">
    <pageSetUpPr fitToPage="1"/>
  </sheetPr>
  <dimension ref="B2:X50"/>
  <sheetViews>
    <sheetView view="pageBreakPreview" zoomScaleNormal="100" zoomScaleSheetLayoutView="100" workbookViewId="0"/>
  </sheetViews>
  <sheetFormatPr defaultRowHeight="13.5" x14ac:dyDescent="0.15"/>
  <cols>
    <col min="1" max="2" width="2.75" customWidth="1"/>
    <col min="3" max="3" width="28.125" customWidth="1"/>
    <col min="4" max="4" width="10.625" customWidth="1"/>
    <col min="5" max="5" width="2.625" customWidth="1"/>
    <col min="6" max="6" width="8.125" customWidth="1"/>
    <col min="7" max="7" width="11.375" bestFit="1" customWidth="1"/>
    <col min="8" max="8" width="3.375" customWidth="1"/>
    <col min="9" max="9" width="10" customWidth="1"/>
    <col min="10" max="10" width="10.375" bestFit="1" customWidth="1"/>
    <col min="11" max="11" width="3.375" bestFit="1" customWidth="1"/>
    <col min="12" max="12" width="10" customWidth="1"/>
    <col min="13" max="13" width="9.625" customWidth="1"/>
    <col min="14" max="14" width="3.375" bestFit="1" customWidth="1"/>
    <col min="15" max="16" width="9.625" customWidth="1"/>
    <col min="17" max="18" width="2.875" customWidth="1"/>
  </cols>
  <sheetData>
    <row r="2" spans="2:17" ht="23.45" customHeight="1" x14ac:dyDescent="0.15">
      <c r="C2" s="268" t="s">
        <v>20</v>
      </c>
      <c r="D2" s="268"/>
      <c r="E2" s="268"/>
      <c r="F2" s="268"/>
      <c r="G2" s="268"/>
      <c r="H2" s="268"/>
      <c r="I2" s="268"/>
      <c r="J2" s="268"/>
      <c r="K2" s="268"/>
      <c r="L2" s="268"/>
      <c r="M2" s="268"/>
      <c r="N2" s="268"/>
      <c r="O2" s="268"/>
      <c r="P2" s="268"/>
    </row>
    <row r="3" spans="2:17" ht="7.5" customHeight="1" x14ac:dyDescent="0.15">
      <c r="C3" s="34"/>
      <c r="D3" s="34"/>
      <c r="E3" s="34"/>
      <c r="F3" s="34"/>
      <c r="G3" s="34"/>
      <c r="H3" s="34"/>
      <c r="I3" s="34"/>
      <c r="J3" s="34"/>
      <c r="K3" s="34"/>
      <c r="L3" s="34"/>
      <c r="M3" s="34"/>
      <c r="N3" s="34"/>
      <c r="O3" s="34"/>
      <c r="P3" s="34"/>
    </row>
    <row r="4" spans="2:17" ht="15" customHeight="1" x14ac:dyDescent="0.15">
      <c r="C4" s="140" t="str">
        <f>"【"&amp;製品カテゴリ&amp;"】"</f>
        <v>【AGV・AMR】</v>
      </c>
      <c r="D4" s="34"/>
      <c r="E4" s="34"/>
      <c r="F4" s="34"/>
      <c r="G4" s="34"/>
      <c r="H4" s="34"/>
      <c r="I4" s="34"/>
      <c r="J4" s="34"/>
      <c r="K4" s="35"/>
      <c r="L4" s="35"/>
      <c r="M4" s="35"/>
      <c r="N4" s="552" t="s">
        <v>21</v>
      </c>
      <c r="O4" s="552"/>
      <c r="P4" s="552"/>
    </row>
    <row r="5" spans="2:17" ht="7.5" customHeight="1" x14ac:dyDescent="0.15">
      <c r="C5" s="34"/>
      <c r="D5" s="34"/>
      <c r="E5" s="34"/>
      <c r="F5" s="34"/>
      <c r="G5" s="34"/>
      <c r="H5" s="34"/>
      <c r="I5" s="34"/>
      <c r="J5" s="34"/>
      <c r="K5" s="34"/>
      <c r="L5" s="34"/>
      <c r="M5" s="34"/>
      <c r="N5" s="34"/>
      <c r="O5" s="34"/>
      <c r="P5" s="34"/>
    </row>
    <row r="6" spans="2:17" x14ac:dyDescent="0.15">
      <c r="C6" s="11" t="s">
        <v>0</v>
      </c>
      <c r="D6" s="551">
        <f>製造事業者名</f>
        <v>0</v>
      </c>
      <c r="E6" s="551"/>
      <c r="F6" s="551"/>
      <c r="G6" s="551"/>
      <c r="H6" s="551"/>
      <c r="I6" s="551"/>
      <c r="J6" s="551"/>
      <c r="K6" s="551"/>
      <c r="L6" s="551"/>
      <c r="M6" s="551"/>
    </row>
    <row r="7" spans="2:17" x14ac:dyDescent="0.15">
      <c r="C7" s="11" t="s">
        <v>1</v>
      </c>
      <c r="D7" s="551">
        <f>型番</f>
        <v>0</v>
      </c>
      <c r="E7" s="551"/>
      <c r="F7" s="551"/>
      <c r="G7" s="551"/>
      <c r="H7" s="551"/>
      <c r="I7" s="551"/>
      <c r="J7" s="551"/>
      <c r="K7" s="551"/>
      <c r="L7" s="551"/>
      <c r="M7" s="551"/>
    </row>
    <row r="9" spans="2:17" x14ac:dyDescent="0.15">
      <c r="C9" s="1" t="s">
        <v>444</v>
      </c>
      <c r="D9" s="1"/>
    </row>
    <row r="10" spans="2:17" x14ac:dyDescent="0.15">
      <c r="C10" s="1"/>
      <c r="D10" s="1"/>
    </row>
    <row r="11" spans="2:17" x14ac:dyDescent="0.15">
      <c r="C11" s="37" t="s">
        <v>22</v>
      </c>
      <c r="D11" s="548" t="s">
        <v>23</v>
      </c>
      <c r="E11" s="549"/>
      <c r="F11" s="549"/>
      <c r="G11" s="549"/>
      <c r="H11" s="550"/>
    </row>
    <row r="13" spans="2:17" ht="17.25" x14ac:dyDescent="0.15">
      <c r="B13" s="17"/>
      <c r="C13" s="28" t="s">
        <v>24</v>
      </c>
      <c r="D13" s="28"/>
      <c r="E13" s="18"/>
      <c r="F13" s="18"/>
      <c r="G13" s="18"/>
      <c r="H13" s="18"/>
      <c r="I13" s="18"/>
      <c r="J13" s="18"/>
      <c r="K13" s="18"/>
      <c r="L13" s="18"/>
      <c r="M13" s="18"/>
      <c r="N13" s="18"/>
      <c r="O13" s="18"/>
      <c r="P13" s="18"/>
      <c r="Q13" s="19"/>
    </row>
    <row r="14" spans="2:17" x14ac:dyDescent="0.15">
      <c r="B14" s="20"/>
      <c r="C14" s="12"/>
      <c r="D14" s="12"/>
      <c r="Q14" s="21"/>
    </row>
    <row r="15" spans="2:17" x14ac:dyDescent="0.15">
      <c r="B15" s="20"/>
      <c r="C15" t="s">
        <v>25</v>
      </c>
      <c r="I15" s="72">
        <f>'利用が想定される中小企業（卸売業）'!$D$10/2000*60</f>
        <v>0.8400535309779934</v>
      </c>
      <c r="J15" s="5" t="s">
        <v>26</v>
      </c>
      <c r="K15" s="5" t="s">
        <v>27</v>
      </c>
      <c r="L15" s="53">
        <f>'利用が想定される中小企業（卸売業）'!$D$11/100</f>
        <v>292.27787855269344</v>
      </c>
      <c r="M15" s="5" t="s">
        <v>28</v>
      </c>
      <c r="N15" s="5" t="s">
        <v>29</v>
      </c>
      <c r="O15" s="7">
        <f>I15*L15/60</f>
        <v>4.0921510650824535</v>
      </c>
      <c r="P15" s="5" t="s">
        <v>30</v>
      </c>
      <c r="Q15" s="21"/>
    </row>
    <row r="16" spans="2:17" x14ac:dyDescent="0.15">
      <c r="B16" s="20"/>
      <c r="C16" t="s">
        <v>31</v>
      </c>
      <c r="I16" s="72">
        <f>'利用が想定される中小企業（卸売業）'!$D$10/4000*60</f>
        <v>0.4200267654889967</v>
      </c>
      <c r="J16" s="5" t="s">
        <v>26</v>
      </c>
      <c r="K16" s="5" t="s">
        <v>27</v>
      </c>
      <c r="L16" s="53">
        <f>'利用が想定される中小企業（卸売業）'!$D$11/100</f>
        <v>292.27787855269344</v>
      </c>
      <c r="M16" s="5" t="s">
        <v>28</v>
      </c>
      <c r="N16" s="5" t="s">
        <v>29</v>
      </c>
      <c r="O16" s="7">
        <f>I16*L16/60</f>
        <v>2.0460755325412268</v>
      </c>
      <c r="P16" s="5" t="s">
        <v>30</v>
      </c>
      <c r="Q16" s="21"/>
    </row>
    <row r="17" spans="2:17" x14ac:dyDescent="0.15">
      <c r="B17" s="20"/>
      <c r="C17" s="4" t="s">
        <v>32</v>
      </c>
      <c r="D17" s="4"/>
      <c r="E17" s="4"/>
      <c r="F17" s="4"/>
      <c r="G17" s="4"/>
      <c r="H17" s="4"/>
      <c r="I17" s="79">
        <v>0.5</v>
      </c>
      <c r="J17" s="8" t="s">
        <v>26</v>
      </c>
      <c r="K17" s="8" t="s">
        <v>27</v>
      </c>
      <c r="L17" s="54">
        <f>'利用が想定される中小企業（卸売業）'!$D$11/100</f>
        <v>292.27787855269344</v>
      </c>
      <c r="M17" s="8" t="s">
        <v>28</v>
      </c>
      <c r="N17" s="8" t="s">
        <v>29</v>
      </c>
      <c r="O17" s="9">
        <f>I17*L17/60</f>
        <v>2.4356489879391119</v>
      </c>
      <c r="P17" s="8" t="s">
        <v>30</v>
      </c>
      <c r="Q17" s="21"/>
    </row>
    <row r="18" spans="2:17" x14ac:dyDescent="0.15">
      <c r="B18" s="20"/>
      <c r="C18" t="s">
        <v>33</v>
      </c>
      <c r="F18" s="5"/>
      <c r="G18" s="5"/>
      <c r="H18" s="5"/>
      <c r="I18" s="5"/>
      <c r="J18" s="5"/>
      <c r="K18" s="5"/>
      <c r="L18" s="5"/>
      <c r="M18" s="5"/>
      <c r="N18" s="5"/>
      <c r="O18" s="7">
        <f>SUM(O15:O17)</f>
        <v>8.5738755855627922</v>
      </c>
      <c r="P18" s="5" t="s">
        <v>30</v>
      </c>
      <c r="Q18" s="21"/>
    </row>
    <row r="19" spans="2:17" x14ac:dyDescent="0.15">
      <c r="B19" s="20"/>
      <c r="C19" t="s">
        <v>34</v>
      </c>
      <c r="F19" s="5"/>
      <c r="G19" s="5"/>
      <c r="H19" s="5"/>
      <c r="I19" s="5"/>
      <c r="J19" s="5"/>
      <c r="K19" s="5"/>
      <c r="L19" s="5"/>
      <c r="M19" s="5"/>
      <c r="N19" s="5"/>
      <c r="O19" s="13"/>
      <c r="P19" s="5"/>
      <c r="Q19" s="21"/>
    </row>
    <row r="20" spans="2:17" x14ac:dyDescent="0.15">
      <c r="B20" s="20"/>
      <c r="F20" s="5"/>
      <c r="G20" s="5"/>
      <c r="H20" s="5"/>
      <c r="I20" s="5"/>
      <c r="J20" s="5"/>
      <c r="K20" s="5"/>
      <c r="L20" s="5"/>
      <c r="M20" s="5"/>
      <c r="N20" s="5"/>
      <c r="O20" s="13"/>
      <c r="P20" s="5"/>
      <c r="Q20" s="21"/>
    </row>
    <row r="21" spans="2:17" x14ac:dyDescent="0.15">
      <c r="B21" s="20"/>
      <c r="C21" t="s">
        <v>105</v>
      </c>
      <c r="F21" s="72">
        <f>'利用が想定される中小企業（卸売業）'!$D$10/30+'利用が想定される中小企業（卸売業）'!$D$10/60</f>
        <v>1.4000892182966556</v>
      </c>
      <c r="G21" s="5" t="s">
        <v>26</v>
      </c>
      <c r="H21" s="5" t="s">
        <v>27</v>
      </c>
      <c r="I21" s="52">
        <f>IF(人の同伴=凡例!$L$1,1,0)</f>
        <v>0</v>
      </c>
      <c r="J21" s="5" t="s">
        <v>36</v>
      </c>
      <c r="K21" s="5" t="s">
        <v>27</v>
      </c>
      <c r="L21" s="52" t="e">
        <f>'利用が想定される中小企業（卸売業）'!$D$11/(最大搬送重量*0.8)</f>
        <v>#DIV/0!</v>
      </c>
      <c r="M21" s="5" t="s">
        <v>28</v>
      </c>
      <c r="N21" s="5" t="s">
        <v>29</v>
      </c>
      <c r="O21" s="75" t="e">
        <f>F21*I21*L21/60</f>
        <v>#DIV/0!</v>
      </c>
      <c r="P21" s="5" t="s">
        <v>30</v>
      </c>
      <c r="Q21" s="21"/>
    </row>
    <row r="22" spans="2:17" x14ac:dyDescent="0.15">
      <c r="B22" s="20"/>
      <c r="C22" t="s">
        <v>37</v>
      </c>
      <c r="F22" s="6">
        <v>0.5</v>
      </c>
      <c r="G22" s="5" t="s">
        <v>26</v>
      </c>
      <c r="H22" s="5" t="s">
        <v>27</v>
      </c>
      <c r="I22" s="52">
        <f>IF(積み下ろし方法=凡例!$N$1,0,1)</f>
        <v>1</v>
      </c>
      <c r="J22" s="5" t="s">
        <v>36</v>
      </c>
      <c r="K22" s="5" t="s">
        <v>27</v>
      </c>
      <c r="L22" s="52" t="e">
        <f>'利用が想定される中小企業（卸売業）'!$D$11/(最大搬送重量*0.8)</f>
        <v>#DIV/0!</v>
      </c>
      <c r="M22" s="5" t="s">
        <v>28</v>
      </c>
      <c r="N22" s="5" t="s">
        <v>29</v>
      </c>
      <c r="O22" s="75" t="e">
        <f>F22*I22*L22/60</f>
        <v>#DIV/0!</v>
      </c>
      <c r="P22" s="5" t="s">
        <v>30</v>
      </c>
      <c r="Q22" s="21"/>
    </row>
    <row r="23" spans="2:17" x14ac:dyDescent="0.15">
      <c r="B23" s="20"/>
      <c r="C23" t="s">
        <v>38</v>
      </c>
      <c r="F23" s="6">
        <v>0.25</v>
      </c>
      <c r="G23" s="5" t="s">
        <v>26</v>
      </c>
      <c r="H23" s="5" t="s">
        <v>27</v>
      </c>
      <c r="I23" s="52">
        <f>IF(ルート設定方法=凡例!$N$1,0,1)</f>
        <v>1</v>
      </c>
      <c r="J23" s="5" t="s">
        <v>36</v>
      </c>
      <c r="K23" s="5" t="s">
        <v>27</v>
      </c>
      <c r="L23" s="52" t="e">
        <f>'利用が想定される中小企業（卸売業）'!$D$11/(最大搬送重量*0.8)</f>
        <v>#DIV/0!</v>
      </c>
      <c r="M23" s="5" t="s">
        <v>28</v>
      </c>
      <c r="N23" s="5" t="s">
        <v>29</v>
      </c>
      <c r="O23" s="75" t="e">
        <f>F23*I23*L23/60</f>
        <v>#DIV/0!</v>
      </c>
      <c r="P23" s="5" t="s">
        <v>30</v>
      </c>
      <c r="Q23" s="21"/>
    </row>
    <row r="24" spans="2:17" x14ac:dyDescent="0.15">
      <c r="B24" s="20"/>
      <c r="C24" s="4" t="s">
        <v>39</v>
      </c>
      <c r="D24" s="4"/>
      <c r="E24" s="4"/>
      <c r="F24" s="8"/>
      <c r="G24" s="8"/>
      <c r="H24" s="8"/>
      <c r="I24" s="10">
        <f>(5+30/'利用が想定される中小企業（卸売業）'!$D$8)</f>
        <v>5.0999999999999996</v>
      </c>
      <c r="J24" s="8" t="s">
        <v>106</v>
      </c>
      <c r="K24" s="8" t="s">
        <v>27</v>
      </c>
      <c r="L24" s="10" t="e">
        <f>'利用が想定される中小企業（卸売業）'!$D$12</f>
        <v>#DIV/0!</v>
      </c>
      <c r="M24" s="8" t="s">
        <v>41</v>
      </c>
      <c r="N24" s="8" t="s">
        <v>29</v>
      </c>
      <c r="O24" s="9" t="e">
        <f>(I24*L24)/60</f>
        <v>#DIV/0!</v>
      </c>
      <c r="P24" s="8" t="s">
        <v>30</v>
      </c>
      <c r="Q24" s="21"/>
    </row>
    <row r="25" spans="2:17" x14ac:dyDescent="0.15">
      <c r="B25" s="20"/>
      <c r="C25" t="s">
        <v>42</v>
      </c>
      <c r="F25" s="5"/>
      <c r="G25" s="5"/>
      <c r="H25" s="5"/>
      <c r="I25" s="5"/>
      <c r="J25" s="5"/>
      <c r="K25" s="5"/>
      <c r="L25" s="5"/>
      <c r="M25" s="5"/>
      <c r="N25" s="5"/>
      <c r="O25" s="65" t="e">
        <f>SUM(O21:O24)</f>
        <v>#DIV/0!</v>
      </c>
      <c r="P25" s="5" t="s">
        <v>30</v>
      </c>
      <c r="Q25" s="21"/>
    </row>
    <row r="26" spans="2:17" x14ac:dyDescent="0.15">
      <c r="B26" s="20"/>
      <c r="C26" t="s">
        <v>43</v>
      </c>
      <c r="F26" s="5"/>
      <c r="G26" s="5"/>
      <c r="H26" s="5"/>
      <c r="I26" s="5"/>
      <c r="J26" s="5"/>
      <c r="K26" s="5"/>
      <c r="L26" s="5"/>
      <c r="M26" s="5"/>
      <c r="N26" s="5"/>
      <c r="O26" s="13"/>
      <c r="P26" s="5"/>
      <c r="Q26" s="21"/>
    </row>
    <row r="27" spans="2:17" ht="14.25" thickBot="1" x14ac:dyDescent="0.2">
      <c r="B27" s="20"/>
      <c r="F27" s="5"/>
      <c r="G27" s="5"/>
      <c r="H27" s="5"/>
      <c r="I27" s="5"/>
      <c r="J27" s="5"/>
      <c r="K27" s="5"/>
      <c r="L27" s="5"/>
      <c r="M27" s="5"/>
      <c r="N27" s="5"/>
      <c r="O27" s="13"/>
      <c r="P27" s="5"/>
      <c r="Q27" s="21"/>
    </row>
    <row r="28" spans="2:17" ht="14.25" thickBot="1" x14ac:dyDescent="0.2">
      <c r="B28" s="20"/>
      <c r="C28" s="14" t="s">
        <v>44</v>
      </c>
      <c r="D28" s="14"/>
      <c r="E28" s="11" t="s">
        <v>45</v>
      </c>
      <c r="F28" s="7">
        <f>O18</f>
        <v>8.5738755855627922</v>
      </c>
      <c r="G28" s="5" t="s">
        <v>30</v>
      </c>
      <c r="H28" s="5" t="s">
        <v>46</v>
      </c>
      <c r="I28" s="15" t="e">
        <f>O25</f>
        <v>#DIV/0!</v>
      </c>
      <c r="J28" s="16" t="s">
        <v>47</v>
      </c>
      <c r="K28" s="5" t="s">
        <v>48</v>
      </c>
      <c r="L28" s="7">
        <f>O18</f>
        <v>8.5738755855627922</v>
      </c>
      <c r="M28" s="5" t="s">
        <v>30</v>
      </c>
      <c r="N28" s="5" t="s">
        <v>49</v>
      </c>
      <c r="O28" s="57" t="e">
        <f>(F28-I28)/L28</f>
        <v>#DIV/0!</v>
      </c>
      <c r="P28" s="5" t="s">
        <v>36</v>
      </c>
      <c r="Q28" s="21"/>
    </row>
    <row r="29" spans="2:17" x14ac:dyDescent="0.15">
      <c r="B29" s="20"/>
      <c r="C29" s="38" t="s">
        <v>50</v>
      </c>
      <c r="D29" s="38"/>
      <c r="F29" s="5"/>
      <c r="G29" s="5"/>
      <c r="H29" s="5"/>
      <c r="I29" s="5"/>
      <c r="J29" s="5"/>
      <c r="K29" s="5"/>
      <c r="L29" s="5"/>
      <c r="M29" s="5"/>
      <c r="N29" s="5"/>
      <c r="O29" s="5"/>
      <c r="P29" s="5"/>
      <c r="Q29" s="21"/>
    </row>
    <row r="30" spans="2:17" ht="14.25" thickBot="1" x14ac:dyDescent="0.2">
      <c r="B30" s="20"/>
      <c r="C30" s="38"/>
      <c r="D30" s="38"/>
      <c r="F30" s="5"/>
      <c r="G30" s="5"/>
      <c r="H30" s="5"/>
      <c r="I30" s="5"/>
      <c r="J30" s="5"/>
      <c r="K30" s="5"/>
      <c r="L30" s="5"/>
      <c r="M30" s="5"/>
      <c r="N30" s="5"/>
      <c r="O30" s="5"/>
      <c r="P30" s="5"/>
      <c r="Q30" s="21"/>
    </row>
    <row r="31" spans="2:17" ht="14.25" thickBot="1" x14ac:dyDescent="0.2">
      <c r="B31" s="20"/>
      <c r="C31" s="38" t="s">
        <v>51</v>
      </c>
      <c r="D31" s="38"/>
      <c r="F31" s="5"/>
      <c r="G31" s="5"/>
      <c r="H31" s="5"/>
      <c r="I31" s="5"/>
      <c r="J31" s="5"/>
      <c r="K31" s="5"/>
      <c r="L31" s="5"/>
      <c r="M31" s="5"/>
      <c r="N31" s="5"/>
      <c r="O31" s="40" t="e">
        <f>IF(O28&gt;=0.2,"適格","不適")</f>
        <v>#DIV/0!</v>
      </c>
      <c r="P31" s="5"/>
      <c r="Q31" s="21"/>
    </row>
    <row r="32" spans="2:17" x14ac:dyDescent="0.15">
      <c r="B32" s="22"/>
      <c r="C32" s="29"/>
      <c r="D32" s="29"/>
      <c r="E32" s="4"/>
      <c r="F32" s="8"/>
      <c r="G32" s="8"/>
      <c r="H32" s="8"/>
      <c r="I32" s="8"/>
      <c r="J32" s="8"/>
      <c r="K32" s="8"/>
      <c r="L32" s="8"/>
      <c r="M32" s="8"/>
      <c r="N32" s="8"/>
      <c r="O32" s="8"/>
      <c r="P32" s="8"/>
      <c r="Q32" s="23"/>
    </row>
    <row r="33" spans="2:24" x14ac:dyDescent="0.15">
      <c r="F33" s="5"/>
      <c r="G33" s="5"/>
      <c r="H33" s="5"/>
      <c r="I33" s="5"/>
      <c r="J33" s="5"/>
      <c r="K33" s="5"/>
      <c r="L33" s="5"/>
      <c r="M33" s="5"/>
      <c r="N33" s="5"/>
      <c r="O33" s="5"/>
      <c r="P33" s="5"/>
      <c r="X33" s="16"/>
    </row>
    <row r="34" spans="2:24" ht="17.25" x14ac:dyDescent="0.15">
      <c r="B34" s="17"/>
      <c r="C34" s="28" t="s">
        <v>52</v>
      </c>
      <c r="D34" s="28"/>
      <c r="E34" s="18"/>
      <c r="F34" s="24"/>
      <c r="G34" s="24"/>
      <c r="H34" s="24"/>
      <c r="I34" s="24"/>
      <c r="J34" s="24"/>
      <c r="K34" s="24"/>
      <c r="L34" s="24"/>
      <c r="M34" s="24"/>
      <c r="N34" s="24"/>
      <c r="O34" s="24"/>
      <c r="P34" s="24"/>
      <c r="Q34" s="19"/>
    </row>
    <row r="35" spans="2:24" ht="14.25" thickBot="1" x14ac:dyDescent="0.2">
      <c r="B35" s="20"/>
      <c r="F35" s="5"/>
      <c r="G35" s="5"/>
      <c r="H35" s="5"/>
      <c r="I35" s="5"/>
      <c r="J35" s="5"/>
      <c r="K35" s="5"/>
      <c r="L35" s="5"/>
      <c r="M35" s="5"/>
      <c r="N35" s="5"/>
      <c r="O35" s="5"/>
      <c r="P35" s="5"/>
      <c r="Q35" s="21"/>
    </row>
    <row r="36" spans="2:24" ht="14.25" thickBot="1" x14ac:dyDescent="0.2">
      <c r="B36" s="20"/>
      <c r="C36" t="s">
        <v>53</v>
      </c>
      <c r="F36" s="5"/>
      <c r="G36" s="5"/>
      <c r="H36" s="5"/>
      <c r="I36" s="5"/>
      <c r="J36" s="5"/>
      <c r="K36" s="5"/>
      <c r="L36" s="5"/>
      <c r="M36" s="5"/>
      <c r="N36" s="5"/>
      <c r="O36" s="225">
        <f>機器費用/1000</f>
        <v>0</v>
      </c>
      <c r="P36" s="5" t="s">
        <v>15</v>
      </c>
      <c r="Q36" s="21"/>
    </row>
    <row r="37" spans="2:24" ht="14.25" thickBot="1" x14ac:dyDescent="0.2">
      <c r="B37" s="20"/>
      <c r="C37" t="s">
        <v>54</v>
      </c>
      <c r="F37" s="5"/>
      <c r="G37" s="5"/>
      <c r="H37" s="5"/>
      <c r="K37" s="5"/>
      <c r="L37" s="5"/>
      <c r="M37" s="5"/>
      <c r="N37" s="5"/>
      <c r="O37" s="225">
        <f>設定費用/1000</f>
        <v>0</v>
      </c>
      <c r="P37" s="5" t="s">
        <v>15</v>
      </c>
      <c r="Q37" s="21"/>
    </row>
    <row r="38" spans="2:24" x14ac:dyDescent="0.15">
      <c r="B38" s="20"/>
      <c r="C38" s="4" t="s">
        <v>55</v>
      </c>
      <c r="D38" s="4"/>
      <c r="E38" s="4"/>
      <c r="F38" s="8"/>
      <c r="G38" s="8"/>
      <c r="H38" s="8"/>
      <c r="I38" s="77">
        <f>IF(製品区分=凡例!A11,8,16)</f>
        <v>16</v>
      </c>
      <c r="J38" s="8" t="s">
        <v>57</v>
      </c>
      <c r="K38" s="8" t="s">
        <v>27</v>
      </c>
      <c r="L38" s="10">
        <f>'利用が想定される中小企業（卸売業）'!$D$4</f>
        <v>1.6679999999999999</v>
      </c>
      <c r="M38" s="8" t="s">
        <v>56</v>
      </c>
      <c r="N38" s="8" t="s">
        <v>29</v>
      </c>
      <c r="O38" s="9">
        <f>I38*L38</f>
        <v>26.687999999999999</v>
      </c>
      <c r="P38" s="8" t="s">
        <v>58</v>
      </c>
      <c r="Q38" s="21"/>
    </row>
    <row r="39" spans="2:24" x14ac:dyDescent="0.15">
      <c r="B39" s="20"/>
      <c r="C39" t="s">
        <v>59</v>
      </c>
      <c r="F39" s="5"/>
      <c r="G39" s="5"/>
      <c r="H39" s="5"/>
      <c r="I39" s="5"/>
      <c r="J39" s="5"/>
      <c r="K39" s="5"/>
      <c r="L39" s="5"/>
      <c r="M39" s="5"/>
      <c r="N39" s="5"/>
      <c r="O39" s="25">
        <f>SUM(O36:O38)</f>
        <v>26.687999999999999</v>
      </c>
      <c r="P39" s="5" t="s">
        <v>58</v>
      </c>
      <c r="Q39" s="21"/>
    </row>
    <row r="40" spans="2:24" x14ac:dyDescent="0.15">
      <c r="B40" s="20"/>
      <c r="F40" s="5"/>
      <c r="G40" s="5"/>
      <c r="H40" s="5"/>
      <c r="I40" s="5"/>
      <c r="J40" s="5"/>
      <c r="K40" s="5"/>
      <c r="L40" s="5"/>
      <c r="M40" s="5"/>
      <c r="N40" s="5"/>
      <c r="O40" s="26"/>
      <c r="P40" s="5"/>
      <c r="Q40" s="21"/>
    </row>
    <row r="41" spans="2:24" x14ac:dyDescent="0.15">
      <c r="B41" s="20"/>
      <c r="C41" t="s">
        <v>60</v>
      </c>
      <c r="F41" s="6">
        <f>'利用が想定される中小企業（卸売業）'!$D$4</f>
        <v>1.6679999999999999</v>
      </c>
      <c r="G41" s="5" t="s">
        <v>56</v>
      </c>
      <c r="H41" s="5" t="s">
        <v>27</v>
      </c>
      <c r="I41" s="15" t="e">
        <f>(O18-O25)/'利用が想定される中小企業（卸売業）'!$D$12</f>
        <v>#DIV/0!</v>
      </c>
      <c r="J41" s="5" t="s">
        <v>61</v>
      </c>
      <c r="K41" s="5" t="s">
        <v>27</v>
      </c>
      <c r="L41" s="53">
        <f>'利用が想定される中小企業（卸売業）'!$D$8</f>
        <v>300</v>
      </c>
      <c r="M41" s="5" t="s">
        <v>62</v>
      </c>
      <c r="N41" s="5" t="s">
        <v>29</v>
      </c>
      <c r="O41" s="25" t="e">
        <f>F41*I41*L41</f>
        <v>#DIV/0!</v>
      </c>
      <c r="P41" s="5" t="s">
        <v>63</v>
      </c>
      <c r="Q41" s="21"/>
    </row>
    <row r="42" spans="2:24" x14ac:dyDescent="0.15">
      <c r="B42" s="20"/>
      <c r="C42" s="4" t="s">
        <v>64</v>
      </c>
      <c r="D42" s="4"/>
      <c r="E42" s="4"/>
      <c r="F42" s="4"/>
      <c r="G42" s="8"/>
      <c r="H42" s="8"/>
      <c r="I42" s="10">
        <f>'利用が想定される中小企業（卸売業）'!$D$5</f>
        <v>70</v>
      </c>
      <c r="J42" s="8" t="s">
        <v>65</v>
      </c>
      <c r="K42" s="8" t="s">
        <v>27</v>
      </c>
      <c r="L42" s="76" t="e">
        <f>(O18-O25)/8/'利用が想定される中小企業（卸売業）'!$D$12</f>
        <v>#DIV/0!</v>
      </c>
      <c r="M42" s="8" t="s">
        <v>66</v>
      </c>
      <c r="N42" s="8" t="s">
        <v>29</v>
      </c>
      <c r="O42" s="86" t="e">
        <f>I42*L42</f>
        <v>#DIV/0!</v>
      </c>
      <c r="P42" s="8" t="s">
        <v>63</v>
      </c>
      <c r="Q42" s="21"/>
    </row>
    <row r="43" spans="2:24" x14ac:dyDescent="0.15">
      <c r="B43" s="20"/>
      <c r="C43" t="s">
        <v>67</v>
      </c>
      <c r="F43" s="5"/>
      <c r="G43" s="5"/>
      <c r="H43" s="5"/>
      <c r="I43" s="56"/>
      <c r="J43" s="5"/>
      <c r="K43" s="5"/>
      <c r="L43" s="5"/>
      <c r="M43" s="5"/>
      <c r="N43" s="5"/>
      <c r="O43" s="25" t="e">
        <f>SUM(O41:O42)</f>
        <v>#DIV/0!</v>
      </c>
      <c r="P43" s="5" t="s">
        <v>63</v>
      </c>
      <c r="Q43" s="21"/>
    </row>
    <row r="44" spans="2:24" ht="14.25" thickBot="1" x14ac:dyDescent="0.2">
      <c r="B44" s="20"/>
      <c r="F44" s="5"/>
      <c r="G44" s="5"/>
      <c r="H44" s="5"/>
      <c r="I44" s="5"/>
      <c r="J44" s="5"/>
      <c r="K44" s="5"/>
      <c r="L44" s="5"/>
      <c r="M44" s="5"/>
      <c r="N44" s="5"/>
      <c r="O44" s="26"/>
      <c r="P44" s="5"/>
      <c r="Q44" s="21"/>
    </row>
    <row r="45" spans="2:24" ht="14.25" thickBot="1" x14ac:dyDescent="0.2">
      <c r="B45" s="20"/>
      <c r="C45" s="14" t="s">
        <v>68</v>
      </c>
      <c r="D45" s="14"/>
      <c r="E45" s="5"/>
      <c r="F45" s="5"/>
      <c r="G45" s="5"/>
      <c r="H45" s="5"/>
      <c r="I45" s="27">
        <f>O39</f>
        <v>26.687999999999999</v>
      </c>
      <c r="J45" s="5" t="s">
        <v>15</v>
      </c>
      <c r="K45" s="5" t="s">
        <v>48</v>
      </c>
      <c r="L45" s="25" t="e">
        <f>O43</f>
        <v>#DIV/0!</v>
      </c>
      <c r="M45" s="5" t="s">
        <v>63</v>
      </c>
      <c r="N45" s="5" t="s">
        <v>29</v>
      </c>
      <c r="O45" s="32" t="e">
        <f>I45/L45</f>
        <v>#DIV/0!</v>
      </c>
      <c r="P45" s="5" t="s">
        <v>69</v>
      </c>
      <c r="Q45" s="21"/>
    </row>
    <row r="46" spans="2:24" x14ac:dyDescent="0.15">
      <c r="B46" s="20"/>
      <c r="C46" s="38" t="s">
        <v>70</v>
      </c>
      <c r="D46" s="14"/>
      <c r="F46" s="5"/>
      <c r="G46" s="5"/>
      <c r="H46" s="5"/>
      <c r="I46" s="39"/>
      <c r="J46" s="5"/>
      <c r="K46" s="5"/>
      <c r="L46" s="5"/>
      <c r="M46" s="5"/>
      <c r="N46" s="5"/>
      <c r="O46" s="13"/>
      <c r="P46" s="5"/>
      <c r="Q46" s="21"/>
    </row>
    <row r="47" spans="2:24" ht="14.25" thickBot="1" x14ac:dyDescent="0.2">
      <c r="B47" s="20"/>
      <c r="C47" s="38"/>
      <c r="D47" s="14"/>
      <c r="F47" s="5"/>
      <c r="G47" s="5"/>
      <c r="H47" s="5"/>
      <c r="I47" s="39"/>
      <c r="J47" s="5"/>
      <c r="K47" s="5"/>
      <c r="L47" s="5"/>
      <c r="M47" s="5"/>
      <c r="N47" s="5"/>
      <c r="O47" s="13"/>
      <c r="P47" s="5"/>
      <c r="Q47" s="21"/>
    </row>
    <row r="48" spans="2:24" ht="14.25" thickBot="1" x14ac:dyDescent="0.2">
      <c r="B48" s="20"/>
      <c r="C48" s="38" t="s">
        <v>51</v>
      </c>
      <c r="D48" s="14"/>
      <c r="F48" s="5"/>
      <c r="G48" s="5"/>
      <c r="H48" s="5"/>
      <c r="I48" s="39"/>
      <c r="J48" s="5"/>
      <c r="K48" s="5"/>
      <c r="L48" s="5"/>
      <c r="M48" s="5"/>
      <c r="N48" s="5"/>
      <c r="O48" s="32" t="e">
        <f>IF(O45&lt;4,"適格","不適")</f>
        <v>#DIV/0!</v>
      </c>
      <c r="P48" s="5"/>
      <c r="Q48" s="21"/>
    </row>
    <row r="49" spans="2:18" x14ac:dyDescent="0.15">
      <c r="B49" s="22"/>
      <c r="C49" s="29"/>
      <c r="D49" s="29"/>
      <c r="E49" s="4"/>
      <c r="F49" s="4"/>
      <c r="G49" s="4"/>
      <c r="H49" s="4"/>
      <c r="I49" s="4"/>
      <c r="J49" s="4"/>
      <c r="K49" s="4"/>
      <c r="L49" s="4"/>
      <c r="M49" s="4"/>
      <c r="N49" s="4"/>
      <c r="O49" s="4"/>
      <c r="P49" s="4"/>
      <c r="Q49" s="23"/>
    </row>
    <row r="50" spans="2:18" x14ac:dyDescent="0.15">
      <c r="R50" s="33" t="s">
        <v>17</v>
      </c>
    </row>
  </sheetData>
  <sheetProtection algorithmName="SHA-512" hashValue="KxGqBo91Wsn9Gqj113w1LIi0dV1x7ZawtIXFQJPtPV2w3XCDwlXLyiqJbq6KNuufHLNnE/Eldi3xB2QsLC0nnQ==" saltValue="Gc394x3Vw/di9OyDC4/fTg==" spinCount="100000" sheet="1" objects="1" scenarios="1"/>
  <mergeCells count="5">
    <mergeCell ref="C2:P2"/>
    <mergeCell ref="N4:P4"/>
    <mergeCell ref="D6:M6"/>
    <mergeCell ref="D7:M7"/>
    <mergeCell ref="D11:H11"/>
  </mergeCells>
  <phoneticPr fontId="1"/>
  <pageMargins left="0.7" right="0.7" top="0.75" bottom="0.75" header="0.3" footer="0.3"/>
  <pageSetup paperSize="9" scale="6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7505F-A5BE-4446-BDBF-8CD8B390A933}">
  <sheetPr codeName="Sheet11">
    <pageSetUpPr fitToPage="1"/>
  </sheetPr>
  <dimension ref="B2:X50"/>
  <sheetViews>
    <sheetView view="pageBreakPreview" zoomScaleNormal="100" zoomScaleSheetLayoutView="100" workbookViewId="0"/>
  </sheetViews>
  <sheetFormatPr defaultRowHeight="13.5" x14ac:dyDescent="0.15"/>
  <cols>
    <col min="1" max="2" width="2.75" customWidth="1"/>
    <col min="3" max="3" width="28.125" customWidth="1"/>
    <col min="4" max="4" width="10.625" customWidth="1"/>
    <col min="5" max="5" width="2.625" customWidth="1"/>
    <col min="6" max="6" width="8.125" customWidth="1"/>
    <col min="7" max="7" width="11.375" bestFit="1" customWidth="1"/>
    <col min="8" max="8" width="3.375" customWidth="1"/>
    <col min="9" max="9" width="12.5" customWidth="1"/>
    <col min="10" max="10" width="11.375" bestFit="1" customWidth="1"/>
    <col min="11" max="11" width="3.375" bestFit="1" customWidth="1"/>
    <col min="12" max="12" width="12.5" customWidth="1"/>
    <col min="13" max="13" width="9.625" customWidth="1"/>
    <col min="14" max="14" width="3.375" bestFit="1" customWidth="1"/>
    <col min="15" max="16" width="9.625" customWidth="1"/>
    <col min="17" max="18" width="2.875" customWidth="1"/>
  </cols>
  <sheetData>
    <row r="2" spans="2:17" ht="23.45" customHeight="1" x14ac:dyDescent="0.15">
      <c r="C2" s="268" t="s">
        <v>20</v>
      </c>
      <c r="D2" s="268"/>
      <c r="E2" s="268"/>
      <c r="F2" s="268"/>
      <c r="G2" s="268"/>
      <c r="H2" s="268"/>
      <c r="I2" s="268"/>
      <c r="J2" s="268"/>
      <c r="K2" s="268"/>
      <c r="L2" s="268"/>
      <c r="M2" s="268"/>
      <c r="N2" s="268"/>
      <c r="O2" s="268"/>
      <c r="P2" s="268"/>
    </row>
    <row r="3" spans="2:17" ht="7.5" customHeight="1" x14ac:dyDescent="0.15">
      <c r="C3" s="34"/>
      <c r="D3" s="34"/>
      <c r="E3" s="34"/>
      <c r="F3" s="34"/>
      <c r="G3" s="34"/>
      <c r="H3" s="34"/>
      <c r="I3" s="34"/>
      <c r="J3" s="34"/>
      <c r="K3" s="34"/>
      <c r="L3" s="34"/>
      <c r="M3" s="34"/>
      <c r="N3" s="34"/>
      <c r="O3" s="34"/>
      <c r="P3" s="34"/>
    </row>
    <row r="4" spans="2:17" ht="15" customHeight="1" x14ac:dyDescent="0.15">
      <c r="C4" s="140" t="str">
        <f>"【"&amp;製品カテゴリ&amp;"】"</f>
        <v>【AGV・AMR】</v>
      </c>
      <c r="D4" s="34"/>
      <c r="E4" s="34"/>
      <c r="F4" s="34"/>
      <c r="G4" s="34"/>
      <c r="H4" s="34"/>
      <c r="I4" s="34"/>
      <c r="J4" s="34"/>
      <c r="K4" s="35"/>
      <c r="L4" s="35"/>
      <c r="M4" s="35"/>
      <c r="N4" s="552" t="s">
        <v>21</v>
      </c>
      <c r="O4" s="552"/>
      <c r="P4" s="552"/>
    </row>
    <row r="5" spans="2:17" ht="7.5" customHeight="1" x14ac:dyDescent="0.15">
      <c r="C5" s="34"/>
      <c r="D5" s="34"/>
      <c r="E5" s="34"/>
      <c r="F5" s="34"/>
      <c r="G5" s="34"/>
      <c r="H5" s="34"/>
      <c r="I5" s="34"/>
      <c r="J5" s="34"/>
      <c r="K5" s="34"/>
      <c r="L5" s="34"/>
      <c r="M5" s="34"/>
      <c r="N5" s="34"/>
      <c r="O5" s="34"/>
      <c r="P5" s="34"/>
    </row>
    <row r="6" spans="2:17" x14ac:dyDescent="0.15">
      <c r="C6" s="11" t="s">
        <v>0</v>
      </c>
      <c r="D6" s="551">
        <f>製造事業者名</f>
        <v>0</v>
      </c>
      <c r="E6" s="551"/>
      <c r="F6" s="551"/>
      <c r="G6" s="551"/>
      <c r="H6" s="551"/>
      <c r="I6" s="551"/>
      <c r="J6" s="551"/>
      <c r="K6" s="551"/>
      <c r="L6" s="551"/>
      <c r="M6" s="551"/>
    </row>
    <row r="7" spans="2:17" x14ac:dyDescent="0.15">
      <c r="C7" s="11" t="s">
        <v>1</v>
      </c>
      <c r="D7" s="551">
        <f>型番</f>
        <v>0</v>
      </c>
      <c r="E7" s="551"/>
      <c r="F7" s="551"/>
      <c r="G7" s="551"/>
      <c r="H7" s="551"/>
      <c r="I7" s="551"/>
      <c r="J7" s="551"/>
      <c r="K7" s="551"/>
      <c r="L7" s="551"/>
      <c r="M7" s="551"/>
    </row>
    <row r="9" spans="2:17" x14ac:dyDescent="0.15">
      <c r="C9" s="1" t="s">
        <v>444</v>
      </c>
      <c r="D9" s="1"/>
    </row>
    <row r="10" spans="2:17" x14ac:dyDescent="0.15">
      <c r="C10" s="1"/>
      <c r="D10" s="1"/>
    </row>
    <row r="11" spans="2:17" x14ac:dyDescent="0.15">
      <c r="C11" s="37" t="s">
        <v>22</v>
      </c>
      <c r="D11" s="548" t="s">
        <v>107</v>
      </c>
      <c r="E11" s="549"/>
      <c r="F11" s="549"/>
      <c r="G11" s="549"/>
      <c r="H11" s="550"/>
    </row>
    <row r="13" spans="2:17" ht="17.25" x14ac:dyDescent="0.15">
      <c r="B13" s="17"/>
      <c r="C13" s="28" t="s">
        <v>24</v>
      </c>
      <c r="D13" s="28"/>
      <c r="E13" s="18"/>
      <c r="F13" s="18"/>
      <c r="G13" s="18"/>
      <c r="H13" s="18"/>
      <c r="I13" s="18"/>
      <c r="J13" s="18"/>
      <c r="K13" s="18"/>
      <c r="L13" s="18"/>
      <c r="M13" s="18"/>
      <c r="N13" s="18"/>
      <c r="O13" s="18"/>
      <c r="P13" s="18"/>
      <c r="Q13" s="19"/>
    </row>
    <row r="14" spans="2:17" x14ac:dyDescent="0.15">
      <c r="B14" s="20"/>
      <c r="C14" s="12"/>
      <c r="D14" s="12"/>
      <c r="Q14" s="21"/>
    </row>
    <row r="15" spans="2:17" x14ac:dyDescent="0.15">
      <c r="B15" s="20"/>
      <c r="C15" t="s">
        <v>25</v>
      </c>
      <c r="I15" s="72">
        <f>'利用が想定される中小企業（卸売業）'!$E$10/2000*60</f>
        <v>1.2921653655613092</v>
      </c>
      <c r="J15" s="5" t="s">
        <v>26</v>
      </c>
      <c r="K15" s="5" t="s">
        <v>27</v>
      </c>
      <c r="L15" s="53">
        <f>'利用が想定される中小企業（卸売業）'!$E$11/100</f>
        <v>691.5414492983914</v>
      </c>
      <c r="M15" s="5" t="s">
        <v>28</v>
      </c>
      <c r="N15" s="5" t="s">
        <v>29</v>
      </c>
      <c r="O15" s="7">
        <f>I15*L15/60</f>
        <v>14.893098493890893</v>
      </c>
      <c r="P15" s="5" t="s">
        <v>30</v>
      </c>
      <c r="Q15" s="21"/>
    </row>
    <row r="16" spans="2:17" x14ac:dyDescent="0.15">
      <c r="B16" s="20"/>
      <c r="C16" t="s">
        <v>31</v>
      </c>
      <c r="I16" s="72">
        <f>'利用が想定される中小企業（卸売業）'!$E$10/4000*60</f>
        <v>0.64608268278065462</v>
      </c>
      <c r="J16" s="5" t="s">
        <v>26</v>
      </c>
      <c r="K16" s="5" t="s">
        <v>27</v>
      </c>
      <c r="L16" s="53">
        <f>'利用が想定される中小企業（卸売業）'!$E$11/100</f>
        <v>691.5414492983914</v>
      </c>
      <c r="M16" s="5" t="s">
        <v>28</v>
      </c>
      <c r="N16" s="5" t="s">
        <v>29</v>
      </c>
      <c r="O16" s="7">
        <f>I16*L16/60</f>
        <v>7.4465492469454464</v>
      </c>
      <c r="P16" s="5" t="s">
        <v>30</v>
      </c>
      <c r="Q16" s="21"/>
    </row>
    <row r="17" spans="2:17" x14ac:dyDescent="0.15">
      <c r="B17" s="20"/>
      <c r="C17" s="4" t="s">
        <v>32</v>
      </c>
      <c r="D17" s="4"/>
      <c r="E17" s="4"/>
      <c r="F17" s="4"/>
      <c r="G17" s="4"/>
      <c r="H17" s="4"/>
      <c r="I17" s="10">
        <v>0.5</v>
      </c>
      <c r="J17" s="8" t="s">
        <v>26</v>
      </c>
      <c r="K17" s="8" t="s">
        <v>27</v>
      </c>
      <c r="L17" s="54">
        <f>'利用が想定される中小企業（卸売業）'!$E$11/100</f>
        <v>691.5414492983914</v>
      </c>
      <c r="M17" s="8" t="s">
        <v>28</v>
      </c>
      <c r="N17" s="8" t="s">
        <v>29</v>
      </c>
      <c r="O17" s="9">
        <f>I17*L17/60</f>
        <v>5.7628454108199287</v>
      </c>
      <c r="P17" s="8" t="s">
        <v>30</v>
      </c>
      <c r="Q17" s="21"/>
    </row>
    <row r="18" spans="2:17" x14ac:dyDescent="0.15">
      <c r="B18" s="20"/>
      <c r="C18" t="s">
        <v>33</v>
      </c>
      <c r="F18" s="5"/>
      <c r="G18" s="5"/>
      <c r="H18" s="5"/>
      <c r="I18" s="5"/>
      <c r="J18" s="5"/>
      <c r="K18" s="5"/>
      <c r="L18" s="5"/>
      <c r="M18" s="5"/>
      <c r="N18" s="5"/>
      <c r="O18" s="7">
        <f>SUM(O15:O17)</f>
        <v>28.102493151656269</v>
      </c>
      <c r="P18" s="5" t="s">
        <v>30</v>
      </c>
      <c r="Q18" s="21"/>
    </row>
    <row r="19" spans="2:17" x14ac:dyDescent="0.15">
      <c r="B19" s="20"/>
      <c r="C19" t="s">
        <v>34</v>
      </c>
      <c r="F19" s="5"/>
      <c r="G19" s="5"/>
      <c r="H19" s="5"/>
      <c r="I19" s="5"/>
      <c r="J19" s="5"/>
      <c r="K19" s="5"/>
      <c r="L19" s="5"/>
      <c r="M19" s="5"/>
      <c r="N19" s="5"/>
      <c r="O19" s="13"/>
      <c r="P19" s="5"/>
      <c r="Q19" s="21"/>
    </row>
    <row r="20" spans="2:17" x14ac:dyDescent="0.15">
      <c r="B20" s="20"/>
      <c r="F20" s="5"/>
      <c r="G20" s="5"/>
      <c r="H20" s="5"/>
      <c r="I20" s="5"/>
      <c r="J20" s="5"/>
      <c r="K20" s="5"/>
      <c r="L20" s="5"/>
      <c r="M20" s="5"/>
      <c r="N20" s="5"/>
      <c r="O20" s="13"/>
      <c r="P20" s="5"/>
      <c r="Q20" s="21"/>
    </row>
    <row r="21" spans="2:17" x14ac:dyDescent="0.15">
      <c r="B21" s="20"/>
      <c r="C21" t="s">
        <v>105</v>
      </c>
      <c r="F21" s="72">
        <f>'利用が想定される中小企業（卸売業）'!$E$10/30+'利用が想定される中小企業（卸売業）'!$E$10/60</f>
        <v>2.1536089426021823</v>
      </c>
      <c r="G21" s="5" t="s">
        <v>26</v>
      </c>
      <c r="H21" s="5" t="s">
        <v>27</v>
      </c>
      <c r="I21" s="52">
        <f>IF(人の同伴=凡例!$L$1,1,0)</f>
        <v>0</v>
      </c>
      <c r="J21" s="5" t="s">
        <v>36</v>
      </c>
      <c r="K21" s="5" t="s">
        <v>27</v>
      </c>
      <c r="L21" s="52" t="e">
        <f>'利用が想定される中小企業（卸売業）'!$E$11/(最大搬送重量*0.8)</f>
        <v>#DIV/0!</v>
      </c>
      <c r="M21" s="5" t="s">
        <v>28</v>
      </c>
      <c r="N21" s="5" t="s">
        <v>29</v>
      </c>
      <c r="O21" s="75" t="e">
        <f>F21*I21*L21/60</f>
        <v>#DIV/0!</v>
      </c>
      <c r="P21" s="5" t="s">
        <v>30</v>
      </c>
      <c r="Q21" s="21"/>
    </row>
    <row r="22" spans="2:17" x14ac:dyDescent="0.15">
      <c r="B22" s="20"/>
      <c r="C22" t="s">
        <v>37</v>
      </c>
      <c r="F22" s="6">
        <v>0.5</v>
      </c>
      <c r="G22" s="5" t="s">
        <v>26</v>
      </c>
      <c r="H22" s="5" t="s">
        <v>27</v>
      </c>
      <c r="I22" s="52">
        <f>IF(積み下ろし方法=凡例!$N$1,0,1)</f>
        <v>1</v>
      </c>
      <c r="J22" s="5" t="s">
        <v>36</v>
      </c>
      <c r="K22" s="5" t="s">
        <v>27</v>
      </c>
      <c r="L22" s="52" t="e">
        <f>'利用が想定される中小企業（卸売業）'!$E$11/(最大搬送重量*0.8)</f>
        <v>#DIV/0!</v>
      </c>
      <c r="M22" s="5" t="s">
        <v>28</v>
      </c>
      <c r="N22" s="5" t="s">
        <v>29</v>
      </c>
      <c r="O22" s="75" t="e">
        <f>F22*I22*L22/60</f>
        <v>#DIV/0!</v>
      </c>
      <c r="P22" s="5" t="s">
        <v>30</v>
      </c>
      <c r="Q22" s="21"/>
    </row>
    <row r="23" spans="2:17" x14ac:dyDescent="0.15">
      <c r="B23" s="20"/>
      <c r="C23" t="s">
        <v>38</v>
      </c>
      <c r="F23" s="6">
        <v>0.25</v>
      </c>
      <c r="G23" s="5" t="s">
        <v>26</v>
      </c>
      <c r="H23" s="5" t="s">
        <v>27</v>
      </c>
      <c r="I23" s="52">
        <f>IF(ルート設定方法=凡例!$N$1,0,1)</f>
        <v>1</v>
      </c>
      <c r="J23" s="5" t="s">
        <v>36</v>
      </c>
      <c r="K23" s="5" t="s">
        <v>27</v>
      </c>
      <c r="L23" s="52" t="e">
        <f>'利用が想定される中小企業（卸売業）'!$E$11/(最大搬送重量*0.8)</f>
        <v>#DIV/0!</v>
      </c>
      <c r="M23" s="5" t="s">
        <v>28</v>
      </c>
      <c r="N23" s="5" t="s">
        <v>29</v>
      </c>
      <c r="O23" s="75" t="e">
        <f>F23*I23*L23/60</f>
        <v>#DIV/0!</v>
      </c>
      <c r="P23" s="5" t="s">
        <v>30</v>
      </c>
      <c r="Q23" s="21"/>
    </row>
    <row r="24" spans="2:17" x14ac:dyDescent="0.15">
      <c r="B24" s="20"/>
      <c r="C24" s="4" t="s">
        <v>39</v>
      </c>
      <c r="D24" s="4"/>
      <c r="E24" s="4"/>
      <c r="F24" s="8"/>
      <c r="G24" s="8"/>
      <c r="H24" s="8"/>
      <c r="I24" s="10">
        <f>(5+30/'利用が想定される中小企業（卸売業）'!$E$8)</f>
        <v>5.0999999999999996</v>
      </c>
      <c r="J24" s="8" t="s">
        <v>106</v>
      </c>
      <c r="K24" s="8" t="s">
        <v>27</v>
      </c>
      <c r="L24" s="10" t="e">
        <f>'利用が想定される中小企業（卸売業）'!$E$12</f>
        <v>#DIV/0!</v>
      </c>
      <c r="M24" s="8" t="s">
        <v>41</v>
      </c>
      <c r="N24" s="8" t="s">
        <v>29</v>
      </c>
      <c r="O24" s="9" t="e">
        <f>(I24*L24)/60</f>
        <v>#DIV/0!</v>
      </c>
      <c r="P24" s="8" t="s">
        <v>30</v>
      </c>
      <c r="Q24" s="21"/>
    </row>
    <row r="25" spans="2:17" x14ac:dyDescent="0.15">
      <c r="B25" s="20"/>
      <c r="C25" t="s">
        <v>42</v>
      </c>
      <c r="F25" s="5"/>
      <c r="G25" s="5"/>
      <c r="H25" s="5"/>
      <c r="I25" s="5"/>
      <c r="J25" s="5"/>
      <c r="K25" s="5"/>
      <c r="L25" s="5"/>
      <c r="M25" s="5"/>
      <c r="N25" s="5"/>
      <c r="O25" s="65" t="e">
        <f>SUM(O21:O24)</f>
        <v>#DIV/0!</v>
      </c>
      <c r="P25" s="5" t="s">
        <v>30</v>
      </c>
      <c r="Q25" s="21"/>
    </row>
    <row r="26" spans="2:17" x14ac:dyDescent="0.15">
      <c r="B26" s="20"/>
      <c r="C26" t="s">
        <v>43</v>
      </c>
      <c r="F26" s="5"/>
      <c r="G26" s="5"/>
      <c r="H26" s="5"/>
      <c r="I26" s="5"/>
      <c r="J26" s="5"/>
      <c r="K26" s="5"/>
      <c r="L26" s="5"/>
      <c r="M26" s="5"/>
      <c r="N26" s="5"/>
      <c r="O26" s="13"/>
      <c r="P26" s="5"/>
      <c r="Q26" s="21"/>
    </row>
    <row r="27" spans="2:17" ht="14.25" thickBot="1" x14ac:dyDescent="0.2">
      <c r="B27" s="20"/>
      <c r="F27" s="5"/>
      <c r="G27" s="5"/>
      <c r="H27" s="5"/>
      <c r="I27" s="5"/>
      <c r="J27" s="5"/>
      <c r="K27" s="5"/>
      <c r="L27" s="5"/>
      <c r="M27" s="5"/>
      <c r="N27" s="5"/>
      <c r="O27" s="13"/>
      <c r="P27" s="5"/>
      <c r="Q27" s="21"/>
    </row>
    <row r="28" spans="2:17" ht="14.25" thickBot="1" x14ac:dyDescent="0.2">
      <c r="B28" s="20"/>
      <c r="C28" s="14" t="s">
        <v>44</v>
      </c>
      <c r="D28" s="14"/>
      <c r="E28" s="11" t="s">
        <v>45</v>
      </c>
      <c r="F28" s="7">
        <f>O18</f>
        <v>28.102493151656269</v>
      </c>
      <c r="G28" s="5" t="s">
        <v>30</v>
      </c>
      <c r="H28" s="5" t="s">
        <v>46</v>
      </c>
      <c r="I28" s="15" t="e">
        <f>O25</f>
        <v>#DIV/0!</v>
      </c>
      <c r="J28" s="16" t="s">
        <v>47</v>
      </c>
      <c r="K28" s="5" t="s">
        <v>48</v>
      </c>
      <c r="L28" s="7">
        <f>O18</f>
        <v>28.102493151656269</v>
      </c>
      <c r="M28" s="5" t="s">
        <v>30</v>
      </c>
      <c r="N28" s="5" t="s">
        <v>49</v>
      </c>
      <c r="O28" s="57" t="e">
        <f>(F28-I28)/L28</f>
        <v>#DIV/0!</v>
      </c>
      <c r="P28" s="5" t="s">
        <v>36</v>
      </c>
      <c r="Q28" s="21"/>
    </row>
    <row r="29" spans="2:17" x14ac:dyDescent="0.15">
      <c r="B29" s="20"/>
      <c r="C29" s="38" t="s">
        <v>50</v>
      </c>
      <c r="D29" s="38"/>
      <c r="F29" s="5"/>
      <c r="G29" s="5"/>
      <c r="H29" s="5"/>
      <c r="I29" s="5"/>
      <c r="J29" s="5"/>
      <c r="K29" s="5"/>
      <c r="L29" s="5"/>
      <c r="M29" s="5"/>
      <c r="N29" s="5"/>
      <c r="O29" s="5"/>
      <c r="P29" s="5"/>
      <c r="Q29" s="21"/>
    </row>
    <row r="30" spans="2:17" ht="14.25" thickBot="1" x14ac:dyDescent="0.2">
      <c r="B30" s="20"/>
      <c r="C30" s="38"/>
      <c r="D30" s="38"/>
      <c r="F30" s="5"/>
      <c r="G30" s="5"/>
      <c r="H30" s="5"/>
      <c r="I30" s="5"/>
      <c r="J30" s="5"/>
      <c r="K30" s="5"/>
      <c r="L30" s="5"/>
      <c r="M30" s="5"/>
      <c r="N30" s="5"/>
      <c r="O30" s="5"/>
      <c r="P30" s="5"/>
      <c r="Q30" s="21"/>
    </row>
    <row r="31" spans="2:17" ht="14.25" thickBot="1" x14ac:dyDescent="0.2">
      <c r="B31" s="20"/>
      <c r="C31" s="38" t="s">
        <v>51</v>
      </c>
      <c r="D31" s="38"/>
      <c r="F31" s="5"/>
      <c r="G31" s="5"/>
      <c r="H31" s="5"/>
      <c r="I31" s="5"/>
      <c r="J31" s="5"/>
      <c r="K31" s="5"/>
      <c r="L31" s="5"/>
      <c r="M31" s="5"/>
      <c r="N31" s="5"/>
      <c r="O31" s="40" t="e">
        <f>IF(O28&gt;=0.2,"適格","不適")</f>
        <v>#DIV/0!</v>
      </c>
      <c r="P31" s="5"/>
      <c r="Q31" s="21"/>
    </row>
    <row r="32" spans="2:17" x14ac:dyDescent="0.15">
      <c r="B32" s="22"/>
      <c r="C32" s="29"/>
      <c r="D32" s="29"/>
      <c r="E32" s="4"/>
      <c r="F32" s="8"/>
      <c r="G32" s="8"/>
      <c r="H32" s="8"/>
      <c r="I32" s="8"/>
      <c r="J32" s="8"/>
      <c r="K32" s="8"/>
      <c r="L32" s="8"/>
      <c r="M32" s="8"/>
      <c r="N32" s="8"/>
      <c r="O32" s="8"/>
      <c r="P32" s="8"/>
      <c r="Q32" s="23"/>
    </row>
    <row r="33" spans="2:24" x14ac:dyDescent="0.15">
      <c r="F33" s="5"/>
      <c r="G33" s="5"/>
      <c r="H33" s="5"/>
      <c r="I33" s="5"/>
      <c r="J33" s="5"/>
      <c r="K33" s="5"/>
      <c r="L33" s="5"/>
      <c r="M33" s="5"/>
      <c r="N33" s="5"/>
      <c r="O33" s="5"/>
      <c r="P33" s="5"/>
      <c r="X33" s="16"/>
    </row>
    <row r="34" spans="2:24" ht="17.25" x14ac:dyDescent="0.15">
      <c r="B34" s="17"/>
      <c r="C34" s="28" t="s">
        <v>52</v>
      </c>
      <c r="D34" s="28"/>
      <c r="E34" s="18"/>
      <c r="F34" s="24"/>
      <c r="G34" s="24"/>
      <c r="H34" s="24"/>
      <c r="I34" s="24"/>
      <c r="J34" s="24"/>
      <c r="K34" s="24"/>
      <c r="L34" s="24"/>
      <c r="M34" s="24"/>
      <c r="N34" s="24"/>
      <c r="O34" s="24"/>
      <c r="P34" s="24"/>
      <c r="Q34" s="19"/>
    </row>
    <row r="35" spans="2:24" ht="14.25" thickBot="1" x14ac:dyDescent="0.2">
      <c r="B35" s="20"/>
      <c r="F35" s="5"/>
      <c r="G35" s="5"/>
      <c r="H35" s="5"/>
      <c r="I35" s="5"/>
      <c r="J35" s="5"/>
      <c r="K35" s="5"/>
      <c r="L35" s="5"/>
      <c r="M35" s="5"/>
      <c r="N35" s="5"/>
      <c r="O35" s="5"/>
      <c r="P35" s="5"/>
      <c r="Q35" s="21"/>
    </row>
    <row r="36" spans="2:24" ht="14.25" thickBot="1" x14ac:dyDescent="0.2">
      <c r="B36" s="20"/>
      <c r="C36" t="s">
        <v>53</v>
      </c>
      <c r="F36" s="5"/>
      <c r="G36" s="5"/>
      <c r="H36" s="5"/>
      <c r="I36" s="5"/>
      <c r="J36" s="5"/>
      <c r="K36" s="5"/>
      <c r="L36" s="5"/>
      <c r="M36" s="5"/>
      <c r="N36" s="5"/>
      <c r="O36" s="225">
        <f>機器費用/1000</f>
        <v>0</v>
      </c>
      <c r="P36" s="5" t="s">
        <v>15</v>
      </c>
      <c r="Q36" s="21"/>
    </row>
    <row r="37" spans="2:24" ht="14.25" thickBot="1" x14ac:dyDescent="0.2">
      <c r="B37" s="20"/>
      <c r="C37" t="s">
        <v>54</v>
      </c>
      <c r="F37" s="5"/>
      <c r="G37" s="5"/>
      <c r="H37" s="5"/>
      <c r="I37" s="5"/>
      <c r="J37" s="5"/>
      <c r="K37" s="5"/>
      <c r="N37" s="5"/>
      <c r="O37" s="225">
        <f>設定費用/1000</f>
        <v>0</v>
      </c>
      <c r="P37" s="5" t="s">
        <v>15</v>
      </c>
      <c r="Q37" s="21"/>
    </row>
    <row r="38" spans="2:24" x14ac:dyDescent="0.15">
      <c r="B38" s="20"/>
      <c r="C38" s="4" t="s">
        <v>55</v>
      </c>
      <c r="D38" s="4"/>
      <c r="E38" s="4"/>
      <c r="F38" s="8"/>
      <c r="G38" s="8"/>
      <c r="H38" s="8"/>
      <c r="I38" s="10">
        <f>'利用が想定される中小企業（卸売業）'!$E$4</f>
        <v>1.6679999999999999</v>
      </c>
      <c r="J38" s="8" t="s">
        <v>56</v>
      </c>
      <c r="K38" s="8" t="s">
        <v>27</v>
      </c>
      <c r="L38" s="77">
        <f>IF(製品区分=凡例!D11,8,16)</f>
        <v>8</v>
      </c>
      <c r="M38" s="8" t="s">
        <v>57</v>
      </c>
      <c r="N38" s="8" t="s">
        <v>29</v>
      </c>
      <c r="O38" s="9">
        <f>L38*I38</f>
        <v>13.343999999999999</v>
      </c>
      <c r="P38" s="8" t="s">
        <v>58</v>
      </c>
      <c r="Q38" s="21"/>
    </row>
    <row r="39" spans="2:24" x14ac:dyDescent="0.15">
      <c r="B39" s="20"/>
      <c r="C39" t="s">
        <v>59</v>
      </c>
      <c r="F39" s="5"/>
      <c r="G39" s="5"/>
      <c r="H39" s="5"/>
      <c r="I39" s="5"/>
      <c r="J39" s="5"/>
      <c r="K39" s="5"/>
      <c r="L39" s="5"/>
      <c r="M39" s="5"/>
      <c r="N39" s="5"/>
      <c r="O39" s="25">
        <f>SUM(O36:O38)</f>
        <v>13.343999999999999</v>
      </c>
      <c r="P39" s="5" t="s">
        <v>58</v>
      </c>
      <c r="Q39" s="21"/>
    </row>
    <row r="40" spans="2:24" x14ac:dyDescent="0.15">
      <c r="B40" s="20"/>
      <c r="F40" s="5"/>
      <c r="G40" s="5"/>
      <c r="H40" s="5"/>
      <c r="I40" s="5"/>
      <c r="J40" s="5"/>
      <c r="K40" s="5"/>
      <c r="L40" s="5"/>
      <c r="M40" s="5"/>
      <c r="N40" s="5"/>
      <c r="O40" s="26"/>
      <c r="P40" s="5"/>
      <c r="Q40" s="21"/>
    </row>
    <row r="41" spans="2:24" x14ac:dyDescent="0.15">
      <c r="B41" s="20"/>
      <c r="C41" t="s">
        <v>60</v>
      </c>
      <c r="F41" s="6">
        <f>'利用が想定される中小企業（卸売業）'!$E$4</f>
        <v>1.6679999999999999</v>
      </c>
      <c r="G41" s="5" t="s">
        <v>56</v>
      </c>
      <c r="H41" s="5" t="s">
        <v>27</v>
      </c>
      <c r="I41" s="15" t="e">
        <f>(O18-O25)/'利用が想定される中小企業（卸売業）'!$E$12</f>
        <v>#DIV/0!</v>
      </c>
      <c r="J41" s="5" t="s">
        <v>61</v>
      </c>
      <c r="K41" s="5" t="s">
        <v>27</v>
      </c>
      <c r="L41" s="53">
        <f>'利用が想定される中小企業（卸売業）'!$E$8</f>
        <v>300</v>
      </c>
      <c r="M41" s="5" t="s">
        <v>62</v>
      </c>
      <c r="N41" s="5" t="s">
        <v>29</v>
      </c>
      <c r="O41" s="25" t="e">
        <f>F41*I41*L41</f>
        <v>#DIV/0!</v>
      </c>
      <c r="P41" s="5" t="s">
        <v>63</v>
      </c>
      <c r="Q41" s="21"/>
    </row>
    <row r="42" spans="2:24" x14ac:dyDescent="0.15">
      <c r="B42" s="20"/>
      <c r="C42" s="4" t="s">
        <v>64</v>
      </c>
      <c r="D42" s="4"/>
      <c r="E42" s="4"/>
      <c r="F42" s="4"/>
      <c r="G42" s="8"/>
      <c r="H42" s="8"/>
      <c r="I42" s="10">
        <f>'利用が想定される中小企業（卸売業）'!$E$5</f>
        <v>70</v>
      </c>
      <c r="J42" s="8" t="s">
        <v>65</v>
      </c>
      <c r="K42" s="8" t="s">
        <v>27</v>
      </c>
      <c r="L42" s="76" t="e">
        <f>(O18-O25)/8/'利用が想定される中小企業（卸売業）'!$E$12</f>
        <v>#DIV/0!</v>
      </c>
      <c r="M42" s="8" t="s">
        <v>66</v>
      </c>
      <c r="N42" s="8" t="s">
        <v>29</v>
      </c>
      <c r="O42" s="86" t="e">
        <f>I42*L42</f>
        <v>#DIV/0!</v>
      </c>
      <c r="P42" s="8" t="s">
        <v>63</v>
      </c>
      <c r="Q42" s="21"/>
    </row>
    <row r="43" spans="2:24" x14ac:dyDescent="0.15">
      <c r="B43" s="20"/>
      <c r="C43" t="s">
        <v>67</v>
      </c>
      <c r="F43" s="5"/>
      <c r="G43" s="5"/>
      <c r="H43" s="5"/>
      <c r="I43" s="56"/>
      <c r="J43" s="5"/>
      <c r="K43" s="5"/>
      <c r="L43" s="5"/>
      <c r="M43" s="5"/>
      <c r="N43" s="5"/>
      <c r="O43" s="25" t="e">
        <f>SUM(O41:O42)</f>
        <v>#DIV/0!</v>
      </c>
      <c r="P43" s="5" t="s">
        <v>63</v>
      </c>
      <c r="Q43" s="21"/>
    </row>
    <row r="44" spans="2:24" ht="14.25" thickBot="1" x14ac:dyDescent="0.2">
      <c r="B44" s="20"/>
      <c r="F44" s="5"/>
      <c r="G44" s="5"/>
      <c r="H44" s="5"/>
      <c r="I44" s="5"/>
      <c r="J44" s="5"/>
      <c r="K44" s="5"/>
      <c r="L44" s="5"/>
      <c r="M44" s="5"/>
      <c r="N44" s="5"/>
      <c r="O44" s="26"/>
      <c r="P44" s="5"/>
      <c r="Q44" s="21"/>
    </row>
    <row r="45" spans="2:24" ht="14.25" thickBot="1" x14ac:dyDescent="0.2">
      <c r="B45" s="20"/>
      <c r="C45" s="14" t="s">
        <v>68</v>
      </c>
      <c r="D45" s="14"/>
      <c r="E45" s="5"/>
      <c r="F45" s="5"/>
      <c r="G45" s="5"/>
      <c r="H45" s="5"/>
      <c r="I45" s="27">
        <f>O39</f>
        <v>13.343999999999999</v>
      </c>
      <c r="J45" s="5" t="s">
        <v>15</v>
      </c>
      <c r="K45" s="5" t="s">
        <v>48</v>
      </c>
      <c r="L45" s="25" t="e">
        <f>O43</f>
        <v>#DIV/0!</v>
      </c>
      <c r="M45" s="5" t="s">
        <v>63</v>
      </c>
      <c r="N45" s="5" t="s">
        <v>29</v>
      </c>
      <c r="O45" s="32" t="e">
        <f>I45/L45</f>
        <v>#DIV/0!</v>
      </c>
      <c r="P45" s="5" t="s">
        <v>69</v>
      </c>
      <c r="Q45" s="21"/>
    </row>
    <row r="46" spans="2:24" x14ac:dyDescent="0.15">
      <c r="B46" s="20"/>
      <c r="C46" s="38" t="s">
        <v>70</v>
      </c>
      <c r="D46" s="14"/>
      <c r="F46" s="5"/>
      <c r="G46" s="5"/>
      <c r="H46" s="5"/>
      <c r="I46" s="39"/>
      <c r="J46" s="5"/>
      <c r="K46" s="5"/>
      <c r="L46" s="5"/>
      <c r="M46" s="5"/>
      <c r="N46" s="5"/>
      <c r="O46" s="13"/>
      <c r="P46" s="5"/>
      <c r="Q46" s="21"/>
    </row>
    <row r="47" spans="2:24" ht="14.25" thickBot="1" x14ac:dyDescent="0.2">
      <c r="B47" s="20"/>
      <c r="C47" s="38"/>
      <c r="D47" s="14"/>
      <c r="F47" s="5"/>
      <c r="G47" s="5"/>
      <c r="H47" s="5"/>
      <c r="I47" s="39"/>
      <c r="J47" s="5"/>
      <c r="K47" s="5"/>
      <c r="L47" s="5"/>
      <c r="M47" s="5"/>
      <c r="N47" s="5"/>
      <c r="O47" s="13"/>
      <c r="P47" s="5"/>
      <c r="Q47" s="21"/>
    </row>
    <row r="48" spans="2:24" ht="14.25" thickBot="1" x14ac:dyDescent="0.2">
      <c r="B48" s="20"/>
      <c r="C48" s="38" t="s">
        <v>51</v>
      </c>
      <c r="D48" s="14"/>
      <c r="F48" s="5"/>
      <c r="G48" s="5"/>
      <c r="H48" s="5"/>
      <c r="I48" s="39"/>
      <c r="J48" s="5"/>
      <c r="K48" s="5"/>
      <c r="L48" s="5"/>
      <c r="M48" s="5"/>
      <c r="N48" s="5"/>
      <c r="O48" s="32" t="e">
        <f>IF(O45&lt;4,"適格","不適")</f>
        <v>#DIV/0!</v>
      </c>
      <c r="P48" s="5"/>
      <c r="Q48" s="21"/>
    </row>
    <row r="49" spans="2:18" x14ac:dyDescent="0.15">
      <c r="B49" s="22"/>
      <c r="C49" s="29"/>
      <c r="D49" s="29"/>
      <c r="E49" s="4"/>
      <c r="F49" s="4"/>
      <c r="G49" s="4"/>
      <c r="H49" s="4"/>
      <c r="I49" s="4"/>
      <c r="J49" s="4"/>
      <c r="K49" s="4"/>
      <c r="L49" s="4"/>
      <c r="M49" s="4"/>
      <c r="N49" s="4"/>
      <c r="O49" s="4"/>
      <c r="P49" s="4"/>
      <c r="Q49" s="23"/>
    </row>
    <row r="50" spans="2:18" x14ac:dyDescent="0.15">
      <c r="R50" s="33" t="s">
        <v>17</v>
      </c>
    </row>
  </sheetData>
  <sheetProtection algorithmName="SHA-512" hashValue="Odv0bnM2lg6ZLmHuL5Q9W6JA/GcvP6wpPF3yhaZyDukr5SiBKpDD8ku//Zt0qQH8JhS+Zq6iMxx2l3t64unZcg==" saltValue="o+j9bs8x9WoyJ4RYHgto0A==" spinCount="100000" sheet="1" objects="1" scenarios="1"/>
  <mergeCells count="5">
    <mergeCell ref="C2:P2"/>
    <mergeCell ref="N4:P4"/>
    <mergeCell ref="D6:M6"/>
    <mergeCell ref="D7:M7"/>
    <mergeCell ref="D11:H11"/>
  </mergeCells>
  <phoneticPr fontId="1"/>
  <pageMargins left="0.7" right="0.7" top="0.75" bottom="0.75" header="0.3" footer="0.3"/>
  <pageSetup paperSize="9" scale="6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6D7D1-0871-42B8-8470-3BB6A1E07FFE}">
  <sheetPr codeName="Sheet12">
    <pageSetUpPr fitToPage="1"/>
  </sheetPr>
  <dimension ref="B2:X50"/>
  <sheetViews>
    <sheetView view="pageBreakPreview" zoomScaleNormal="100" zoomScaleSheetLayoutView="100" workbookViewId="0"/>
  </sheetViews>
  <sheetFormatPr defaultRowHeight="13.5" x14ac:dyDescent="0.15"/>
  <cols>
    <col min="1" max="2" width="2.75" customWidth="1"/>
    <col min="3" max="3" width="28.125" customWidth="1"/>
    <col min="4" max="4" width="10.625" customWidth="1"/>
    <col min="5" max="5" width="2.625" customWidth="1"/>
    <col min="6" max="6" width="8.125" customWidth="1"/>
    <col min="7" max="7" width="11.375" bestFit="1" customWidth="1"/>
    <col min="8" max="8" width="3.375" customWidth="1"/>
    <col min="9" max="9" width="12.25" customWidth="1"/>
    <col min="10" max="10" width="11.375" bestFit="1" customWidth="1"/>
    <col min="11" max="11" width="3.375" bestFit="1" customWidth="1"/>
    <col min="12" max="12" width="12.25" customWidth="1"/>
    <col min="13" max="13" width="9.625" customWidth="1"/>
    <col min="14" max="14" width="3.375" bestFit="1" customWidth="1"/>
    <col min="15" max="16" width="9.625" customWidth="1"/>
    <col min="17" max="18" width="2.875" customWidth="1"/>
  </cols>
  <sheetData>
    <row r="2" spans="2:17" ht="23.45" customHeight="1" x14ac:dyDescent="0.15">
      <c r="C2" s="268" t="s">
        <v>20</v>
      </c>
      <c r="D2" s="268"/>
      <c r="E2" s="268"/>
      <c r="F2" s="268"/>
      <c r="G2" s="268"/>
      <c r="H2" s="268"/>
      <c r="I2" s="268"/>
      <c r="J2" s="268"/>
      <c r="K2" s="268"/>
      <c r="L2" s="268"/>
      <c r="M2" s="268"/>
      <c r="N2" s="268"/>
      <c r="O2" s="268"/>
      <c r="P2" s="268"/>
    </row>
    <row r="3" spans="2:17" ht="7.5" customHeight="1" x14ac:dyDescent="0.15">
      <c r="C3" s="34"/>
      <c r="D3" s="34"/>
      <c r="E3" s="34"/>
      <c r="F3" s="34"/>
      <c r="G3" s="34"/>
      <c r="H3" s="34"/>
      <c r="I3" s="34"/>
      <c r="J3" s="34"/>
      <c r="K3" s="34"/>
      <c r="L3" s="34"/>
      <c r="M3" s="34"/>
      <c r="N3" s="34"/>
      <c r="O3" s="34"/>
      <c r="P3" s="34"/>
    </row>
    <row r="4" spans="2:17" ht="15" customHeight="1" x14ac:dyDescent="0.15">
      <c r="C4" s="140" t="str">
        <f>"【"&amp;製品カテゴリ&amp;"】"</f>
        <v>【AGV・AMR】</v>
      </c>
      <c r="D4" s="34"/>
      <c r="E4" s="34"/>
      <c r="F4" s="34"/>
      <c r="G4" s="34"/>
      <c r="H4" s="34"/>
      <c r="I4" s="34"/>
      <c r="J4" s="34"/>
      <c r="K4" s="35"/>
      <c r="L4" s="35"/>
      <c r="M4" s="35"/>
      <c r="N4" s="552" t="s">
        <v>21</v>
      </c>
      <c r="O4" s="552"/>
      <c r="P4" s="552"/>
    </row>
    <row r="5" spans="2:17" ht="7.5" customHeight="1" x14ac:dyDescent="0.15">
      <c r="C5" s="34"/>
      <c r="D5" s="34"/>
      <c r="E5" s="34"/>
      <c r="F5" s="34"/>
      <c r="G5" s="34"/>
      <c r="H5" s="34"/>
      <c r="I5" s="34"/>
      <c r="J5" s="34"/>
      <c r="K5" s="34"/>
      <c r="L5" s="34"/>
      <c r="M5" s="34"/>
      <c r="N5" s="34"/>
      <c r="O5" s="34"/>
      <c r="P5" s="34"/>
    </row>
    <row r="6" spans="2:17" x14ac:dyDescent="0.15">
      <c r="C6" s="11" t="s">
        <v>0</v>
      </c>
      <c r="D6" s="551">
        <f>製造事業者名</f>
        <v>0</v>
      </c>
      <c r="E6" s="551"/>
      <c r="F6" s="551"/>
      <c r="G6" s="551"/>
      <c r="H6" s="551"/>
      <c r="I6" s="551"/>
      <c r="J6" s="551"/>
      <c r="K6" s="551"/>
      <c r="L6" s="551"/>
      <c r="M6" s="551"/>
    </row>
    <row r="7" spans="2:17" x14ac:dyDescent="0.15">
      <c r="C7" s="11" t="s">
        <v>1</v>
      </c>
      <c r="D7" s="551">
        <f>型番</f>
        <v>0</v>
      </c>
      <c r="E7" s="551"/>
      <c r="F7" s="551"/>
      <c r="G7" s="551"/>
      <c r="H7" s="551"/>
      <c r="I7" s="551"/>
      <c r="J7" s="551"/>
      <c r="K7" s="551"/>
      <c r="L7" s="551"/>
      <c r="M7" s="551"/>
    </row>
    <row r="9" spans="2:17" x14ac:dyDescent="0.15">
      <c r="C9" s="1" t="s">
        <v>444</v>
      </c>
      <c r="D9" s="1"/>
    </row>
    <row r="10" spans="2:17" x14ac:dyDescent="0.15">
      <c r="C10" s="1"/>
      <c r="D10" s="1"/>
    </row>
    <row r="11" spans="2:17" x14ac:dyDescent="0.15">
      <c r="C11" s="37" t="s">
        <v>22</v>
      </c>
      <c r="D11" s="548" t="s">
        <v>108</v>
      </c>
      <c r="E11" s="549"/>
      <c r="F11" s="549"/>
      <c r="G11" s="549"/>
      <c r="H11" s="550"/>
    </row>
    <row r="13" spans="2:17" ht="17.25" x14ac:dyDescent="0.15">
      <c r="B13" s="17"/>
      <c r="C13" s="28" t="s">
        <v>24</v>
      </c>
      <c r="D13" s="28"/>
      <c r="E13" s="18"/>
      <c r="F13" s="18"/>
      <c r="G13" s="18"/>
      <c r="H13" s="18"/>
      <c r="I13" s="18"/>
      <c r="J13" s="18"/>
      <c r="K13" s="18"/>
      <c r="L13" s="18"/>
      <c r="M13" s="18"/>
      <c r="N13" s="18"/>
      <c r="O13" s="18"/>
      <c r="P13" s="18"/>
      <c r="Q13" s="19"/>
    </row>
    <row r="14" spans="2:17" x14ac:dyDescent="0.15">
      <c r="B14" s="20"/>
      <c r="C14" s="12"/>
      <c r="D14" s="12"/>
      <c r="Q14" s="21"/>
    </row>
    <row r="15" spans="2:17" x14ac:dyDescent="0.15">
      <c r="B15" s="20"/>
      <c r="C15" t="s">
        <v>25</v>
      </c>
      <c r="I15" s="72">
        <f>'利用が想定される中小企業（卸売業）'!$F$10/2000*60</f>
        <v>1.4684922902235324</v>
      </c>
      <c r="J15" s="5" t="s">
        <v>26</v>
      </c>
      <c r="K15" s="5" t="s">
        <v>27</v>
      </c>
      <c r="L15" s="53">
        <f>'利用が想定される中小企業（卸売業）'!$F$11/100</f>
        <v>893.15197873273394</v>
      </c>
      <c r="M15" s="5" t="s">
        <v>28</v>
      </c>
      <c r="N15" s="5" t="s">
        <v>29</v>
      </c>
      <c r="O15" s="7">
        <f>I15*L15/60</f>
        <v>21.859779912781867</v>
      </c>
      <c r="P15" s="5" t="s">
        <v>30</v>
      </c>
      <c r="Q15" s="21"/>
    </row>
    <row r="16" spans="2:17" x14ac:dyDescent="0.15">
      <c r="B16" s="20"/>
      <c r="C16" t="s">
        <v>31</v>
      </c>
      <c r="I16" s="72">
        <f>'利用が想定される中小企業（卸売業）'!$F$10/4000*60</f>
        <v>0.73424614511176622</v>
      </c>
      <c r="J16" s="5" t="s">
        <v>26</v>
      </c>
      <c r="K16" s="5" t="s">
        <v>27</v>
      </c>
      <c r="L16" s="53">
        <f>'利用が想定される中小企業（卸売業）'!$F$11/100</f>
        <v>893.15197873273394</v>
      </c>
      <c r="M16" s="5" t="s">
        <v>28</v>
      </c>
      <c r="N16" s="5" t="s">
        <v>29</v>
      </c>
      <c r="O16" s="7">
        <f>I16*L16/60</f>
        <v>10.929889956390934</v>
      </c>
      <c r="P16" s="5" t="s">
        <v>30</v>
      </c>
      <c r="Q16" s="21"/>
    </row>
    <row r="17" spans="2:17" x14ac:dyDescent="0.15">
      <c r="B17" s="20"/>
      <c r="C17" s="4" t="s">
        <v>32</v>
      </c>
      <c r="D17" s="4"/>
      <c r="E17" s="4"/>
      <c r="F17" s="4"/>
      <c r="G17" s="4"/>
      <c r="H17" s="4"/>
      <c r="I17" s="79">
        <v>0.5</v>
      </c>
      <c r="J17" s="8" t="s">
        <v>26</v>
      </c>
      <c r="K17" s="8" t="s">
        <v>27</v>
      </c>
      <c r="L17" s="54">
        <f>'利用が想定される中小企業（卸売業）'!$F$11/100</f>
        <v>893.15197873273394</v>
      </c>
      <c r="M17" s="8" t="s">
        <v>28</v>
      </c>
      <c r="N17" s="8" t="s">
        <v>29</v>
      </c>
      <c r="O17" s="9">
        <f>I17*L17/60</f>
        <v>7.4429331561061165</v>
      </c>
      <c r="P17" s="8" t="s">
        <v>30</v>
      </c>
      <c r="Q17" s="21"/>
    </row>
    <row r="18" spans="2:17" x14ac:dyDescent="0.15">
      <c r="B18" s="20"/>
      <c r="C18" t="s">
        <v>33</v>
      </c>
      <c r="F18" s="5"/>
      <c r="G18" s="5"/>
      <c r="H18" s="5"/>
      <c r="I18" s="5"/>
      <c r="J18" s="5"/>
      <c r="K18" s="5"/>
      <c r="L18" s="5"/>
      <c r="M18" s="5"/>
      <c r="N18" s="5"/>
      <c r="O18" s="7">
        <f>SUM(O15:O17)</f>
        <v>40.232603025278912</v>
      </c>
      <c r="P18" s="5" t="s">
        <v>30</v>
      </c>
      <c r="Q18" s="21"/>
    </row>
    <row r="19" spans="2:17" x14ac:dyDescent="0.15">
      <c r="B19" s="20"/>
      <c r="C19" t="s">
        <v>34</v>
      </c>
      <c r="F19" s="5"/>
      <c r="G19" s="5"/>
      <c r="H19" s="5"/>
      <c r="I19" s="5"/>
      <c r="J19" s="5"/>
      <c r="K19" s="5"/>
      <c r="L19" s="5"/>
      <c r="M19" s="5"/>
      <c r="N19" s="5"/>
      <c r="O19" s="13"/>
      <c r="P19" s="5"/>
      <c r="Q19" s="21"/>
    </row>
    <row r="20" spans="2:17" x14ac:dyDescent="0.15">
      <c r="B20" s="20"/>
      <c r="F20" s="5"/>
      <c r="G20" s="5"/>
      <c r="H20" s="5"/>
      <c r="I20" s="5"/>
      <c r="J20" s="5"/>
      <c r="K20" s="5"/>
      <c r="L20" s="5"/>
      <c r="M20" s="5"/>
      <c r="N20" s="5"/>
      <c r="O20" s="13"/>
      <c r="P20" s="5"/>
      <c r="Q20" s="21"/>
    </row>
    <row r="21" spans="2:17" x14ac:dyDescent="0.15">
      <c r="B21" s="20"/>
      <c r="C21" t="s">
        <v>105</v>
      </c>
      <c r="F21" s="72">
        <f>'利用が想定される中小企業（卸売業）'!$F$10/30+'利用が想定される中小企業（卸売業）'!$F$10/60</f>
        <v>2.4474871503725537</v>
      </c>
      <c r="G21" s="5" t="s">
        <v>26</v>
      </c>
      <c r="H21" s="5" t="s">
        <v>27</v>
      </c>
      <c r="I21" s="52">
        <f>IF(人の同伴=凡例!$L$1,1,0)</f>
        <v>0</v>
      </c>
      <c r="J21" s="5" t="s">
        <v>36</v>
      </c>
      <c r="K21" s="5" t="s">
        <v>27</v>
      </c>
      <c r="L21" s="52" t="e">
        <f>'利用が想定される中小企業（卸売業）'!$F$11/(最大搬送重量*0.8)</f>
        <v>#DIV/0!</v>
      </c>
      <c r="M21" s="5" t="s">
        <v>28</v>
      </c>
      <c r="N21" s="5" t="s">
        <v>29</v>
      </c>
      <c r="O21" s="75" t="e">
        <f>F21*I21*L21/60</f>
        <v>#DIV/0!</v>
      </c>
      <c r="P21" s="5" t="s">
        <v>30</v>
      </c>
      <c r="Q21" s="21"/>
    </row>
    <row r="22" spans="2:17" x14ac:dyDescent="0.15">
      <c r="B22" s="20"/>
      <c r="C22" t="s">
        <v>37</v>
      </c>
      <c r="F22" s="72">
        <v>0.5</v>
      </c>
      <c r="G22" s="5" t="s">
        <v>26</v>
      </c>
      <c r="H22" s="5" t="s">
        <v>27</v>
      </c>
      <c r="I22" s="52">
        <f>IF(積み下ろし方法=凡例!$N$1,0,1)</f>
        <v>1</v>
      </c>
      <c r="J22" s="5" t="s">
        <v>36</v>
      </c>
      <c r="K22" s="5" t="s">
        <v>27</v>
      </c>
      <c r="L22" s="52" t="e">
        <f>'利用が想定される中小企業（卸売業）'!$F$11/(最大搬送重量*0.8)</f>
        <v>#DIV/0!</v>
      </c>
      <c r="M22" s="5" t="s">
        <v>28</v>
      </c>
      <c r="N22" s="5" t="s">
        <v>29</v>
      </c>
      <c r="O22" s="75" t="e">
        <f>F22*I22*L22/60</f>
        <v>#DIV/0!</v>
      </c>
      <c r="P22" s="5" t="s">
        <v>30</v>
      </c>
      <c r="Q22" s="21"/>
    </row>
    <row r="23" spans="2:17" x14ac:dyDescent="0.15">
      <c r="B23" s="20"/>
      <c r="C23" t="s">
        <v>38</v>
      </c>
      <c r="F23" s="6">
        <v>0.25</v>
      </c>
      <c r="G23" s="5" t="s">
        <v>26</v>
      </c>
      <c r="H23" s="5" t="s">
        <v>27</v>
      </c>
      <c r="I23" s="52">
        <f>IF(ルート設定方法=凡例!$N$1,0,1)</f>
        <v>1</v>
      </c>
      <c r="J23" s="5" t="s">
        <v>36</v>
      </c>
      <c r="K23" s="5" t="s">
        <v>27</v>
      </c>
      <c r="L23" s="52" t="e">
        <f>'利用が想定される中小企業（卸売業）'!$F$11/(最大搬送重量*0.8)</f>
        <v>#DIV/0!</v>
      </c>
      <c r="M23" s="5" t="s">
        <v>28</v>
      </c>
      <c r="N23" s="5" t="s">
        <v>29</v>
      </c>
      <c r="O23" s="75" t="e">
        <f>F23*I23*L23/60</f>
        <v>#DIV/0!</v>
      </c>
      <c r="P23" s="5" t="s">
        <v>30</v>
      </c>
      <c r="Q23" s="21"/>
    </row>
    <row r="24" spans="2:17" x14ac:dyDescent="0.15">
      <c r="B24" s="20"/>
      <c r="C24" s="4" t="s">
        <v>39</v>
      </c>
      <c r="D24" s="4"/>
      <c r="E24" s="4"/>
      <c r="F24" s="8"/>
      <c r="G24" s="8"/>
      <c r="H24" s="8"/>
      <c r="I24" s="10">
        <f>(5+30/'利用が想定される中小企業（卸売業）'!$F$8)</f>
        <v>5.0999999999999996</v>
      </c>
      <c r="J24" s="8" t="s">
        <v>106</v>
      </c>
      <c r="K24" s="8" t="s">
        <v>27</v>
      </c>
      <c r="L24" s="10" t="e">
        <f>'利用が想定される中小企業（卸売業）'!$F$12</f>
        <v>#DIV/0!</v>
      </c>
      <c r="M24" s="8" t="s">
        <v>41</v>
      </c>
      <c r="N24" s="8" t="s">
        <v>29</v>
      </c>
      <c r="O24" s="9" t="e">
        <f>(I24*L24)/60</f>
        <v>#DIV/0!</v>
      </c>
      <c r="P24" s="8" t="s">
        <v>30</v>
      </c>
      <c r="Q24" s="21"/>
    </row>
    <row r="25" spans="2:17" x14ac:dyDescent="0.15">
      <c r="B25" s="20"/>
      <c r="C25" t="s">
        <v>42</v>
      </c>
      <c r="F25" s="5"/>
      <c r="G25" s="5"/>
      <c r="H25" s="5"/>
      <c r="I25" s="5"/>
      <c r="J25" s="5"/>
      <c r="K25" s="5"/>
      <c r="L25" s="5"/>
      <c r="M25" s="5"/>
      <c r="N25" s="5"/>
      <c r="O25" s="65" t="e">
        <f>SUM(O21:O24)</f>
        <v>#DIV/0!</v>
      </c>
      <c r="P25" s="5" t="s">
        <v>30</v>
      </c>
      <c r="Q25" s="21"/>
    </row>
    <row r="26" spans="2:17" x14ac:dyDescent="0.15">
      <c r="B26" s="20"/>
      <c r="C26" t="s">
        <v>43</v>
      </c>
      <c r="F26" s="5"/>
      <c r="G26" s="5"/>
      <c r="H26" s="5"/>
      <c r="I26" s="5"/>
      <c r="J26" s="5"/>
      <c r="K26" s="5"/>
      <c r="L26" s="5"/>
      <c r="M26" s="5"/>
      <c r="N26" s="5"/>
      <c r="O26" s="13"/>
      <c r="P26" s="5"/>
      <c r="Q26" s="21"/>
    </row>
    <row r="27" spans="2:17" ht="14.25" thickBot="1" x14ac:dyDescent="0.2">
      <c r="B27" s="20"/>
      <c r="F27" s="5"/>
      <c r="G27" s="5"/>
      <c r="H27" s="5"/>
      <c r="I27" s="5"/>
      <c r="J27" s="5"/>
      <c r="K27" s="5"/>
      <c r="L27" s="5"/>
      <c r="M27" s="5"/>
      <c r="N27" s="5"/>
      <c r="O27" s="13"/>
      <c r="P27" s="5"/>
      <c r="Q27" s="21"/>
    </row>
    <row r="28" spans="2:17" ht="14.25" thickBot="1" x14ac:dyDescent="0.2">
      <c r="B28" s="20"/>
      <c r="C28" s="14" t="s">
        <v>44</v>
      </c>
      <c r="D28" s="14"/>
      <c r="E28" s="11" t="s">
        <v>45</v>
      </c>
      <c r="F28" s="7">
        <f>O18</f>
        <v>40.232603025278912</v>
      </c>
      <c r="G28" s="5" t="s">
        <v>30</v>
      </c>
      <c r="H28" s="5" t="s">
        <v>46</v>
      </c>
      <c r="I28" s="15" t="e">
        <f>O25</f>
        <v>#DIV/0!</v>
      </c>
      <c r="J28" s="16" t="s">
        <v>47</v>
      </c>
      <c r="K28" s="5" t="s">
        <v>48</v>
      </c>
      <c r="L28" s="7">
        <f>O18</f>
        <v>40.232603025278912</v>
      </c>
      <c r="M28" s="5" t="s">
        <v>30</v>
      </c>
      <c r="N28" s="5" t="s">
        <v>49</v>
      </c>
      <c r="O28" s="57" t="e">
        <f>(F28-I28)/L28</f>
        <v>#DIV/0!</v>
      </c>
      <c r="P28" s="5" t="s">
        <v>36</v>
      </c>
      <c r="Q28" s="21"/>
    </row>
    <row r="29" spans="2:17" x14ac:dyDescent="0.15">
      <c r="B29" s="20"/>
      <c r="C29" s="38" t="s">
        <v>50</v>
      </c>
      <c r="D29" s="38"/>
      <c r="F29" s="5"/>
      <c r="G29" s="5"/>
      <c r="H29" s="5"/>
      <c r="I29" s="5"/>
      <c r="J29" s="5"/>
      <c r="K29" s="5"/>
      <c r="L29" s="5"/>
      <c r="M29" s="5"/>
      <c r="N29" s="5"/>
      <c r="O29" s="5"/>
      <c r="P29" s="5"/>
      <c r="Q29" s="21"/>
    </row>
    <row r="30" spans="2:17" ht="14.25" thickBot="1" x14ac:dyDescent="0.2">
      <c r="B30" s="20"/>
      <c r="C30" s="38"/>
      <c r="D30" s="38"/>
      <c r="F30" s="5"/>
      <c r="G30" s="5"/>
      <c r="H30" s="5"/>
      <c r="I30" s="5"/>
      <c r="J30" s="5"/>
      <c r="K30" s="5"/>
      <c r="L30" s="5"/>
      <c r="M30" s="5"/>
      <c r="N30" s="5"/>
      <c r="O30" s="5"/>
      <c r="P30" s="5"/>
      <c r="Q30" s="21"/>
    </row>
    <row r="31" spans="2:17" ht="14.25" thickBot="1" x14ac:dyDescent="0.2">
      <c r="B31" s="20"/>
      <c r="C31" s="38" t="s">
        <v>51</v>
      </c>
      <c r="D31" s="38"/>
      <c r="F31" s="5"/>
      <c r="G31" s="5"/>
      <c r="H31" s="5"/>
      <c r="I31" s="5"/>
      <c r="J31" s="5"/>
      <c r="K31" s="5"/>
      <c r="L31" s="5"/>
      <c r="M31" s="5"/>
      <c r="N31" s="5"/>
      <c r="O31" s="40" t="e">
        <f>IF(O28&gt;=0.2,"適格","不適")</f>
        <v>#DIV/0!</v>
      </c>
      <c r="P31" s="5"/>
      <c r="Q31" s="21"/>
    </row>
    <row r="32" spans="2:17" x14ac:dyDescent="0.15">
      <c r="B32" s="22"/>
      <c r="C32" s="29"/>
      <c r="D32" s="29"/>
      <c r="E32" s="4"/>
      <c r="F32" s="8"/>
      <c r="G32" s="8"/>
      <c r="H32" s="8"/>
      <c r="I32" s="8"/>
      <c r="J32" s="8"/>
      <c r="K32" s="8"/>
      <c r="L32" s="8"/>
      <c r="M32" s="8"/>
      <c r="N32" s="8"/>
      <c r="O32" s="8"/>
      <c r="P32" s="8"/>
      <c r="Q32" s="23"/>
    </row>
    <row r="33" spans="2:24" x14ac:dyDescent="0.15">
      <c r="F33" s="5"/>
      <c r="G33" s="5"/>
      <c r="H33" s="5"/>
      <c r="I33" s="5"/>
      <c r="J33" s="5"/>
      <c r="K33" s="5"/>
      <c r="L33" s="5"/>
      <c r="M33" s="5"/>
      <c r="N33" s="5"/>
      <c r="O33" s="5"/>
      <c r="P33" s="5"/>
      <c r="X33" s="16"/>
    </row>
    <row r="34" spans="2:24" ht="17.25" x14ac:dyDescent="0.15">
      <c r="B34" s="17"/>
      <c r="C34" s="28" t="s">
        <v>52</v>
      </c>
      <c r="D34" s="28"/>
      <c r="E34" s="18"/>
      <c r="F34" s="24"/>
      <c r="G34" s="24"/>
      <c r="H34" s="24"/>
      <c r="I34" s="24"/>
      <c r="J34" s="24"/>
      <c r="K34" s="24"/>
      <c r="L34" s="24"/>
      <c r="M34" s="24"/>
      <c r="N34" s="24"/>
      <c r="O34" s="24"/>
      <c r="P34" s="24"/>
      <c r="Q34" s="19"/>
    </row>
    <row r="35" spans="2:24" ht="14.25" thickBot="1" x14ac:dyDescent="0.2">
      <c r="B35" s="20"/>
      <c r="F35" s="5"/>
      <c r="G35" s="5"/>
      <c r="H35" s="5"/>
      <c r="I35" s="5"/>
      <c r="J35" s="5"/>
      <c r="K35" s="5"/>
      <c r="L35" s="5"/>
      <c r="M35" s="5"/>
      <c r="N35" s="5"/>
      <c r="O35" s="5"/>
      <c r="P35" s="5"/>
      <c r="Q35" s="21"/>
    </row>
    <row r="36" spans="2:24" ht="14.25" thickBot="1" x14ac:dyDescent="0.2">
      <c r="B36" s="20"/>
      <c r="C36" t="s">
        <v>53</v>
      </c>
      <c r="F36" s="5"/>
      <c r="G36" s="5"/>
      <c r="H36" s="5"/>
      <c r="K36" s="5"/>
      <c r="L36" s="5"/>
      <c r="M36" s="5"/>
      <c r="N36" s="5"/>
      <c r="O36" s="225">
        <f>機器費用/1000</f>
        <v>0</v>
      </c>
      <c r="P36" s="5" t="s">
        <v>15</v>
      </c>
      <c r="Q36" s="21"/>
    </row>
    <row r="37" spans="2:24" ht="14.25" thickBot="1" x14ac:dyDescent="0.2">
      <c r="B37" s="20"/>
      <c r="C37" t="s">
        <v>54</v>
      </c>
      <c r="F37" s="5"/>
      <c r="G37" s="5"/>
      <c r="H37" s="5"/>
      <c r="I37" s="5"/>
      <c r="J37" s="5"/>
      <c r="K37" s="5"/>
      <c r="L37" s="5"/>
      <c r="M37" s="5"/>
      <c r="N37" s="5"/>
      <c r="O37" s="225">
        <f>設定費用/1000</f>
        <v>0</v>
      </c>
      <c r="P37" s="5" t="s">
        <v>15</v>
      </c>
      <c r="Q37" s="21"/>
    </row>
    <row r="38" spans="2:24" x14ac:dyDescent="0.15">
      <c r="B38" s="20"/>
      <c r="C38" s="4" t="s">
        <v>55</v>
      </c>
      <c r="D38" s="4"/>
      <c r="E38" s="4"/>
      <c r="F38" s="8"/>
      <c r="G38" s="8"/>
      <c r="H38" s="8"/>
      <c r="I38" s="10">
        <f>'利用が想定される中小企業（卸売業）'!$F$4</f>
        <v>1.6679999999999999</v>
      </c>
      <c r="J38" s="8" t="s">
        <v>56</v>
      </c>
      <c r="K38" s="8" t="s">
        <v>27</v>
      </c>
      <c r="L38" s="77">
        <f>IF(製品区分=凡例!D11,8,16)</f>
        <v>8</v>
      </c>
      <c r="M38" s="8" t="s">
        <v>57</v>
      </c>
      <c r="N38" s="8" t="s">
        <v>29</v>
      </c>
      <c r="O38" s="9">
        <f>L38*I38</f>
        <v>13.343999999999999</v>
      </c>
      <c r="P38" s="8" t="s">
        <v>58</v>
      </c>
      <c r="Q38" s="21"/>
    </row>
    <row r="39" spans="2:24" x14ac:dyDescent="0.15">
      <c r="B39" s="20"/>
      <c r="C39" t="s">
        <v>59</v>
      </c>
      <c r="F39" s="5"/>
      <c r="G39" s="5"/>
      <c r="H39" s="5"/>
      <c r="I39" s="5"/>
      <c r="J39" s="5"/>
      <c r="K39" s="5"/>
      <c r="N39" s="5"/>
      <c r="O39" s="25">
        <f>SUM(O36:O38)</f>
        <v>13.343999999999999</v>
      </c>
      <c r="P39" s="5" t="s">
        <v>58</v>
      </c>
      <c r="Q39" s="21"/>
    </row>
    <row r="40" spans="2:24" x14ac:dyDescent="0.15">
      <c r="B40" s="20"/>
      <c r="F40" s="5"/>
      <c r="G40" s="5"/>
      <c r="H40" s="5"/>
      <c r="I40" s="5"/>
      <c r="J40" s="5"/>
      <c r="K40" s="5"/>
      <c r="L40" s="5"/>
      <c r="M40" s="5"/>
      <c r="N40" s="5"/>
      <c r="O40" s="26"/>
      <c r="P40" s="5"/>
      <c r="Q40" s="21"/>
    </row>
    <row r="41" spans="2:24" x14ac:dyDescent="0.15">
      <c r="B41" s="20"/>
      <c r="C41" t="s">
        <v>60</v>
      </c>
      <c r="F41" s="6">
        <f>'利用が想定される中小企業（卸売業）'!$F$4</f>
        <v>1.6679999999999999</v>
      </c>
      <c r="G41" s="5" t="s">
        <v>56</v>
      </c>
      <c r="H41" s="5" t="s">
        <v>27</v>
      </c>
      <c r="I41" s="15" t="e">
        <f>(O18-O25)/'利用が想定される中小企業（卸売業）'!$F$12</f>
        <v>#DIV/0!</v>
      </c>
      <c r="J41" s="5" t="s">
        <v>61</v>
      </c>
      <c r="K41" s="5" t="s">
        <v>27</v>
      </c>
      <c r="L41" s="53">
        <f>'利用が想定される中小企業（卸売業）'!$F$8</f>
        <v>300</v>
      </c>
      <c r="M41" s="5" t="s">
        <v>62</v>
      </c>
      <c r="N41" s="5" t="s">
        <v>29</v>
      </c>
      <c r="O41" s="25" t="e">
        <f>F41*I41*L41</f>
        <v>#DIV/0!</v>
      </c>
      <c r="P41" s="5" t="s">
        <v>63</v>
      </c>
      <c r="Q41" s="21"/>
    </row>
    <row r="42" spans="2:24" x14ac:dyDescent="0.15">
      <c r="B42" s="20"/>
      <c r="C42" s="4" t="s">
        <v>64</v>
      </c>
      <c r="D42" s="4"/>
      <c r="E42" s="4"/>
      <c r="F42" s="4"/>
      <c r="G42" s="8"/>
      <c r="H42" s="8"/>
      <c r="I42" s="10">
        <f>'利用が想定される中小企業（卸売業）'!$F$5</f>
        <v>70</v>
      </c>
      <c r="J42" s="8" t="s">
        <v>65</v>
      </c>
      <c r="K42" s="8" t="s">
        <v>27</v>
      </c>
      <c r="L42" s="76" t="e">
        <f>(O18-O25)/8/'利用が想定される中小企業（卸売業）'!$F$12</f>
        <v>#DIV/0!</v>
      </c>
      <c r="M42" s="8" t="s">
        <v>66</v>
      </c>
      <c r="N42" s="8" t="s">
        <v>29</v>
      </c>
      <c r="O42" s="86" t="e">
        <f>I42*L42</f>
        <v>#DIV/0!</v>
      </c>
      <c r="P42" s="8" t="s">
        <v>63</v>
      </c>
      <c r="Q42" s="21"/>
    </row>
    <row r="43" spans="2:24" x14ac:dyDescent="0.15">
      <c r="B43" s="20"/>
      <c r="C43" t="s">
        <v>67</v>
      </c>
      <c r="F43" s="5"/>
      <c r="G43" s="5"/>
      <c r="H43" s="5"/>
      <c r="I43" s="56"/>
      <c r="J43" s="5"/>
      <c r="K43" s="5"/>
      <c r="L43" s="5"/>
      <c r="M43" s="5"/>
      <c r="N43" s="5"/>
      <c r="O43" s="25" t="e">
        <f>SUM(O41:O42)</f>
        <v>#DIV/0!</v>
      </c>
      <c r="P43" s="5" t="s">
        <v>63</v>
      </c>
      <c r="Q43" s="21"/>
    </row>
    <row r="44" spans="2:24" ht="14.25" thickBot="1" x14ac:dyDescent="0.2">
      <c r="B44" s="20"/>
      <c r="F44" s="5"/>
      <c r="G44" s="5"/>
      <c r="H44" s="5"/>
      <c r="I44" s="5"/>
      <c r="J44" s="5"/>
      <c r="K44" s="5"/>
      <c r="L44" s="5"/>
      <c r="M44" s="5"/>
      <c r="N44" s="5"/>
      <c r="O44" s="26"/>
      <c r="P44" s="5"/>
      <c r="Q44" s="21"/>
    </row>
    <row r="45" spans="2:24" ht="14.25" thickBot="1" x14ac:dyDescent="0.2">
      <c r="B45" s="20"/>
      <c r="C45" s="14" t="s">
        <v>68</v>
      </c>
      <c r="D45" s="14"/>
      <c r="E45" s="5"/>
      <c r="F45" s="5"/>
      <c r="G45" s="5"/>
      <c r="H45" s="5"/>
      <c r="I45" s="27">
        <f>O39</f>
        <v>13.343999999999999</v>
      </c>
      <c r="J45" s="5" t="s">
        <v>15</v>
      </c>
      <c r="K45" s="5" t="s">
        <v>48</v>
      </c>
      <c r="L45" s="25" t="e">
        <f>O43</f>
        <v>#DIV/0!</v>
      </c>
      <c r="M45" s="5" t="s">
        <v>63</v>
      </c>
      <c r="N45" s="5" t="s">
        <v>29</v>
      </c>
      <c r="O45" s="32" t="e">
        <f>I45/L45</f>
        <v>#DIV/0!</v>
      </c>
      <c r="P45" s="5" t="s">
        <v>69</v>
      </c>
      <c r="Q45" s="21"/>
    </row>
    <row r="46" spans="2:24" x14ac:dyDescent="0.15">
      <c r="B46" s="20"/>
      <c r="C46" s="38" t="s">
        <v>70</v>
      </c>
      <c r="D46" s="14"/>
      <c r="F46" s="5"/>
      <c r="G46" s="5"/>
      <c r="H46" s="5"/>
      <c r="I46" s="39"/>
      <c r="J46" s="5"/>
      <c r="K46" s="5"/>
      <c r="L46" s="5"/>
      <c r="M46" s="5"/>
      <c r="N46" s="5"/>
      <c r="O46" s="13"/>
      <c r="P46" s="5"/>
      <c r="Q46" s="21"/>
    </row>
    <row r="47" spans="2:24" ht="14.25" thickBot="1" x14ac:dyDescent="0.2">
      <c r="B47" s="20"/>
      <c r="C47" s="38"/>
      <c r="D47" s="14"/>
      <c r="F47" s="5"/>
      <c r="G47" s="5"/>
      <c r="H47" s="5"/>
      <c r="I47" s="39"/>
      <c r="J47" s="5"/>
      <c r="K47" s="5"/>
      <c r="L47" s="5"/>
      <c r="M47" s="5"/>
      <c r="N47" s="5"/>
      <c r="O47" s="13"/>
      <c r="P47" s="5"/>
      <c r="Q47" s="21"/>
    </row>
    <row r="48" spans="2:24" ht="14.25" thickBot="1" x14ac:dyDescent="0.2">
      <c r="B48" s="20"/>
      <c r="C48" s="38" t="s">
        <v>51</v>
      </c>
      <c r="D48" s="14"/>
      <c r="F48" s="5"/>
      <c r="G48" s="5"/>
      <c r="H48" s="5"/>
      <c r="I48" s="39"/>
      <c r="J48" s="5"/>
      <c r="K48" s="5"/>
      <c r="L48" s="5"/>
      <c r="M48" s="5"/>
      <c r="N48" s="5"/>
      <c r="O48" s="32" t="e">
        <f>IF(O45&lt;4,"適格","不適")</f>
        <v>#DIV/0!</v>
      </c>
      <c r="P48" s="5"/>
      <c r="Q48" s="21"/>
    </row>
    <row r="49" spans="2:18" x14ac:dyDescent="0.15">
      <c r="B49" s="22"/>
      <c r="C49" s="29"/>
      <c r="D49" s="29"/>
      <c r="E49" s="4"/>
      <c r="F49" s="4"/>
      <c r="G49" s="4"/>
      <c r="H49" s="4"/>
      <c r="I49" s="4"/>
      <c r="J49" s="4"/>
      <c r="K49" s="4"/>
      <c r="L49" s="4"/>
      <c r="M49" s="4"/>
      <c r="N49" s="4"/>
      <c r="O49" s="4"/>
      <c r="P49" s="4"/>
      <c r="Q49" s="23"/>
    </row>
    <row r="50" spans="2:18" x14ac:dyDescent="0.15">
      <c r="R50" s="33" t="s">
        <v>17</v>
      </c>
    </row>
  </sheetData>
  <sheetProtection algorithmName="SHA-512" hashValue="eNyp2MyBuTIh+Gy+ZeSz2Cx7N0QCdKKKh6bIT2ho7eyoFfOAZQOOmHCCghYdXalrpl+p4V5OCKDyC/9q5vu49w==" saltValue="V8Yw92YWC/IwpwgeGV4dLA==" spinCount="100000" sheet="1" objects="1" scenarios="1"/>
  <mergeCells count="5">
    <mergeCell ref="C2:P2"/>
    <mergeCell ref="N4:P4"/>
    <mergeCell ref="D6:M6"/>
    <mergeCell ref="D7:M7"/>
    <mergeCell ref="D11:H11"/>
  </mergeCells>
  <phoneticPr fontId="1"/>
  <pageMargins left="0.7" right="0.7" top="0.75" bottom="0.75" header="0.3" footer="0.3"/>
  <pageSetup paperSize="9" scale="6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83E10-0AEF-46F2-99CB-E20F13EE5998}">
  <sheetPr codeName="Sheet16">
    <pageSetUpPr fitToPage="1"/>
  </sheetPr>
  <dimension ref="A1:I19"/>
  <sheetViews>
    <sheetView view="pageBreakPreview" zoomScaleNormal="100" zoomScaleSheetLayoutView="100" workbookViewId="0">
      <selection sqref="A1:B1"/>
    </sheetView>
  </sheetViews>
  <sheetFormatPr defaultRowHeight="13.5" x14ac:dyDescent="0.15"/>
  <cols>
    <col min="1" max="1" width="3.875" bestFit="1" customWidth="1"/>
    <col min="2" max="2" width="29.875" bestFit="1" customWidth="1"/>
    <col min="3" max="3" width="10" bestFit="1" customWidth="1"/>
    <col min="4" max="6" width="10.625" customWidth="1"/>
    <col min="7" max="7" width="50.625" customWidth="1"/>
    <col min="8" max="9" width="9.125" bestFit="1" customWidth="1"/>
  </cols>
  <sheetData>
    <row r="1" spans="1:9" s="5" customFormat="1" x14ac:dyDescent="0.15">
      <c r="A1" s="556" t="s">
        <v>73</v>
      </c>
      <c r="B1" s="557"/>
      <c r="C1" s="66"/>
      <c r="D1" s="556" t="s">
        <v>74</v>
      </c>
      <c r="E1" s="558"/>
      <c r="F1" s="558"/>
      <c r="G1" s="55" t="s">
        <v>75</v>
      </c>
    </row>
    <row r="2" spans="1:9" s="5" customFormat="1" x14ac:dyDescent="0.15">
      <c r="A2" s="559"/>
      <c r="B2" s="560"/>
      <c r="C2" s="67" t="s">
        <v>76</v>
      </c>
      <c r="D2" s="68" t="s">
        <v>77</v>
      </c>
      <c r="E2" s="68" t="s">
        <v>78</v>
      </c>
      <c r="F2" s="68" t="s">
        <v>79</v>
      </c>
      <c r="G2" s="61"/>
    </row>
    <row r="3" spans="1:9" ht="45" customHeight="1" x14ac:dyDescent="0.15">
      <c r="A3" s="46" t="str">
        <f t="shared" ref="A3:A12" si="0">"("&amp;ROW()-2&amp;")"</f>
        <v>(1)</v>
      </c>
      <c r="B3" s="42" t="s">
        <v>4</v>
      </c>
      <c r="C3" s="70"/>
      <c r="D3" s="553" t="s">
        <v>109</v>
      </c>
      <c r="E3" s="554"/>
      <c r="F3" s="555"/>
      <c r="G3" s="49" t="s">
        <v>81</v>
      </c>
    </row>
    <row r="4" spans="1:9" ht="45" customHeight="1" x14ac:dyDescent="0.15">
      <c r="A4" s="47" t="str">
        <f t="shared" si="0"/>
        <v>(2)</v>
      </c>
      <c r="B4" s="44" t="s">
        <v>110</v>
      </c>
      <c r="C4" s="44" t="s">
        <v>111</v>
      </c>
      <c r="D4" s="47">
        <v>1.6679999999999999</v>
      </c>
      <c r="E4" s="47">
        <v>1.6679999999999999</v>
      </c>
      <c r="F4" s="47">
        <v>1.6679999999999999</v>
      </c>
      <c r="G4" s="43" t="s">
        <v>112</v>
      </c>
    </row>
    <row r="5" spans="1:9" ht="45" customHeight="1" x14ac:dyDescent="0.15">
      <c r="A5" s="47" t="str">
        <f t="shared" si="0"/>
        <v>(3)</v>
      </c>
      <c r="B5" s="44" t="s">
        <v>113</v>
      </c>
      <c r="C5" s="44" t="s">
        <v>111</v>
      </c>
      <c r="D5" s="47">
        <v>70</v>
      </c>
      <c r="E5" s="47">
        <v>70</v>
      </c>
      <c r="F5" s="47">
        <v>70</v>
      </c>
      <c r="G5" s="43" t="s">
        <v>87</v>
      </c>
    </row>
    <row r="6" spans="1:9" ht="45" customHeight="1" x14ac:dyDescent="0.15">
      <c r="A6" s="47" t="str">
        <f t="shared" si="0"/>
        <v>(4)</v>
      </c>
      <c r="B6" s="44" t="s">
        <v>114</v>
      </c>
      <c r="C6" s="44" t="s">
        <v>89</v>
      </c>
      <c r="D6" s="73">
        <v>3.7044091071317293</v>
      </c>
      <c r="E6" s="73">
        <v>11.686378526377549</v>
      </c>
      <c r="F6" s="73">
        <v>15.093400570050427</v>
      </c>
      <c r="G6" s="51" t="s">
        <v>115</v>
      </c>
    </row>
    <row r="7" spans="1:9" ht="45" customHeight="1" x14ac:dyDescent="0.15">
      <c r="A7" s="47" t="str">
        <f t="shared" si="0"/>
        <v>(5)</v>
      </c>
      <c r="B7" s="44" t="s">
        <v>116</v>
      </c>
      <c r="C7" s="44" t="s">
        <v>89</v>
      </c>
      <c r="D7" s="73">
        <f>D6</f>
        <v>3.7044091071317293</v>
      </c>
      <c r="E7" s="73">
        <f>E6*(3/4)</f>
        <v>8.7647838947831609</v>
      </c>
      <c r="F7" s="73">
        <f>F6*(3/4)</f>
        <v>11.32005042753782</v>
      </c>
      <c r="G7" s="51" t="s">
        <v>117</v>
      </c>
    </row>
    <row r="8" spans="1:9" ht="45" customHeight="1" x14ac:dyDescent="0.15">
      <c r="A8" s="47" t="str">
        <f t="shared" si="0"/>
        <v>(6)</v>
      </c>
      <c r="B8" s="44" t="s">
        <v>91</v>
      </c>
      <c r="C8" s="44" t="s">
        <v>92</v>
      </c>
      <c r="D8" s="69">
        <v>300</v>
      </c>
      <c r="E8" s="69">
        <v>300</v>
      </c>
      <c r="F8" s="69">
        <v>300</v>
      </c>
      <c r="G8" s="51"/>
    </row>
    <row r="9" spans="1:9" ht="45" customHeight="1" x14ac:dyDescent="0.15">
      <c r="A9" s="47" t="str">
        <f t="shared" si="0"/>
        <v>(7)</v>
      </c>
      <c r="B9" s="59" t="s">
        <v>93</v>
      </c>
      <c r="C9" s="59" t="s">
        <v>94</v>
      </c>
      <c r="D9" s="71">
        <f>4*(SQRT(D7*635/12))</f>
        <v>56.003568731866224</v>
      </c>
      <c r="E9" s="71">
        <f>4*(SQRT(E7*635/12))</f>
        <v>86.144357704087284</v>
      </c>
      <c r="F9" s="71">
        <f>4*(SQRT(F7*635/12))</f>
        <v>97.899486014902152</v>
      </c>
      <c r="G9" s="51" t="s">
        <v>118</v>
      </c>
    </row>
    <row r="10" spans="1:9" ht="45" customHeight="1" x14ac:dyDescent="0.15">
      <c r="A10" s="47" t="str">
        <f t="shared" si="0"/>
        <v>(8)</v>
      </c>
      <c r="B10" s="59" t="s">
        <v>96</v>
      </c>
      <c r="C10" s="59" t="s">
        <v>94</v>
      </c>
      <c r="D10" s="74">
        <f>D9/2</f>
        <v>28.001784365933112</v>
      </c>
      <c r="E10" s="74">
        <f>E9/2</f>
        <v>43.072178852043642</v>
      </c>
      <c r="F10" s="74">
        <f>F9/2</f>
        <v>48.949743007451076</v>
      </c>
      <c r="G10" s="60"/>
    </row>
    <row r="11" spans="1:9" ht="45" customHeight="1" x14ac:dyDescent="0.15">
      <c r="A11" s="58" t="str">
        <f t="shared" si="0"/>
        <v>(9)</v>
      </c>
      <c r="B11" s="59" t="s">
        <v>99</v>
      </c>
      <c r="C11" s="59" t="s">
        <v>100</v>
      </c>
      <c r="D11" s="74">
        <f>4734000/D8*D7/2</f>
        <v>29227.787855269344</v>
      </c>
      <c r="E11" s="74">
        <f>4734000/E8*E7/2</f>
        <v>69154.144929839138</v>
      </c>
      <c r="F11" s="74">
        <f>4734000/F8*F7/2</f>
        <v>89315.197873273399</v>
      </c>
      <c r="G11" s="60" t="s">
        <v>119</v>
      </c>
    </row>
    <row r="12" spans="1:9" ht="45" customHeight="1" x14ac:dyDescent="0.15">
      <c r="A12" s="48" t="str">
        <f t="shared" si="0"/>
        <v>(10)</v>
      </c>
      <c r="B12" s="45" t="s">
        <v>120</v>
      </c>
      <c r="C12" s="45" t="s">
        <v>121</v>
      </c>
      <c r="D12" s="48" t="e">
        <f>IF((D11*D10)/(((最大搬送重量*0.8)*(3600/60+((3600/60)/2))/2*60)*8)&lt;1,ROUNDUP((D11*D10)/(((最大搬送重量*0.8)*(3600/60+((3600/60)/2))/2*60)*8),0),ROUND((D11*D10)/(((最大搬送重量*0.8)*(3600/60+((3600/60)/2))/2*60)*8),0))</f>
        <v>#DIV/0!</v>
      </c>
      <c r="E12" s="48" t="e">
        <f>IF((E11*E10)/(((最大搬送重量*0.8)*(3600/60+((3600/60)/2))/2*60)*8)&lt;1,ROUNDUP((E11*E10)/(((最大搬送重量*0.8)*(3600/60+((3600/60)/2))/2*60)*8),0),ROUND((E11*E10)/(((最大搬送重量*0.8)*(3600/60+((3600/60)/2))/2*60)*8),0))</f>
        <v>#DIV/0!</v>
      </c>
      <c r="F12" s="48" t="e">
        <f>IF((F11*F10)/(((最大搬送重量*0.8)*(3600/60+((3600/60)/2))/2*60)*8)&lt;1,ROUNDUP((F11*F10)/(((最大搬送重量*0.8)*(3600/60+((3600/60)/2))/2*60)*8),0),ROUND((F11*F10)/(((最大搬送重量*0.8)*(3600/60+((3600/60)/2))/2*60)*8),0))</f>
        <v>#DIV/0!</v>
      </c>
      <c r="G12" s="50" t="s">
        <v>122</v>
      </c>
    </row>
    <row r="13" spans="1:9" ht="15.75" x14ac:dyDescent="0.15">
      <c r="H13" s="63"/>
      <c r="I13" s="63"/>
    </row>
    <row r="14" spans="1:9" ht="15.75" x14ac:dyDescent="0.15">
      <c r="H14" s="63"/>
      <c r="I14" s="63"/>
    </row>
    <row r="15" spans="1:9" ht="15.75" x14ac:dyDescent="0.15">
      <c r="H15" s="63"/>
      <c r="I15" s="63"/>
    </row>
    <row r="16" spans="1:9" ht="15.75" x14ac:dyDescent="0.15">
      <c r="H16" s="63"/>
      <c r="I16" s="63"/>
    </row>
    <row r="17" spans="8:9" ht="15.75" x14ac:dyDescent="0.15">
      <c r="H17" s="64"/>
      <c r="I17" s="64"/>
    </row>
    <row r="18" spans="8:9" ht="15.75" x14ac:dyDescent="0.15">
      <c r="H18" s="63"/>
      <c r="I18" s="63"/>
    </row>
    <row r="19" spans="8:9" ht="15.75" x14ac:dyDescent="0.15">
      <c r="H19" s="63"/>
      <c r="I19" s="63"/>
    </row>
  </sheetData>
  <sheetProtection algorithmName="SHA-512" hashValue="UiSSA4X/nNxBIjVvD1kYuRqJINi7XrKbQCeerOccRlmvvSUXecdzUBEBvDQMPSgL23ttg3ABnsQrG6IUuhuJMg==" saltValue="bqNUA4YbQEtZgZ20WjWwfg==" spinCount="100000" sheet="1" objects="1" scenarios="1"/>
  <mergeCells count="4">
    <mergeCell ref="A1:B1"/>
    <mergeCell ref="D1:F1"/>
    <mergeCell ref="A2:B2"/>
    <mergeCell ref="D3:F3"/>
  </mergeCells>
  <phoneticPr fontId="1"/>
  <pageMargins left="0.7" right="0.7" top="0.75" bottom="0.75" header="0.3" footer="0.3"/>
  <pageSetup paperSize="9" scale="7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2D33-F1E4-4CA7-8A74-A6B1A5CD02A8}">
  <sheetPr codeName="Sheet17">
    <pageSetUpPr fitToPage="1"/>
  </sheetPr>
  <dimension ref="B2:X50"/>
  <sheetViews>
    <sheetView view="pageBreakPreview" zoomScaleNormal="100" zoomScaleSheetLayoutView="100" workbookViewId="0"/>
  </sheetViews>
  <sheetFormatPr defaultRowHeight="13.5" x14ac:dyDescent="0.15"/>
  <cols>
    <col min="1" max="2" width="2.75" customWidth="1"/>
    <col min="3" max="3" width="28.125" customWidth="1"/>
    <col min="4" max="4" width="10.625" customWidth="1"/>
    <col min="5" max="5" width="2.625" customWidth="1"/>
    <col min="6" max="6" width="8.125" customWidth="1"/>
    <col min="7" max="7" width="11.375" bestFit="1" customWidth="1"/>
    <col min="8" max="8" width="3.375" customWidth="1"/>
    <col min="9" max="9" width="14.375" customWidth="1"/>
    <col min="10" max="10" width="10.375" bestFit="1" customWidth="1"/>
    <col min="11" max="11" width="3.375" bestFit="1" customWidth="1"/>
    <col min="12" max="12" width="14.375" customWidth="1"/>
    <col min="13" max="13" width="9.625" customWidth="1"/>
    <col min="14" max="14" width="3.375" bestFit="1" customWidth="1"/>
    <col min="15" max="16" width="9.625" customWidth="1"/>
    <col min="17" max="18" width="2.875" customWidth="1"/>
  </cols>
  <sheetData>
    <row r="2" spans="2:17" ht="23.45" customHeight="1" x14ac:dyDescent="0.15">
      <c r="C2" s="268" t="s">
        <v>20</v>
      </c>
      <c r="D2" s="268"/>
      <c r="E2" s="268"/>
      <c r="F2" s="268"/>
      <c r="G2" s="268"/>
      <c r="H2" s="268"/>
      <c r="I2" s="268"/>
      <c r="J2" s="268"/>
      <c r="K2" s="268"/>
      <c r="L2" s="268"/>
      <c r="M2" s="268"/>
      <c r="N2" s="268"/>
      <c r="O2" s="268"/>
      <c r="P2" s="268"/>
    </row>
    <row r="3" spans="2:17" ht="7.5" customHeight="1" x14ac:dyDescent="0.15">
      <c r="C3" s="34"/>
      <c r="D3" s="34"/>
      <c r="E3" s="34"/>
      <c r="F3" s="34"/>
      <c r="G3" s="34"/>
      <c r="H3" s="34"/>
      <c r="I3" s="34"/>
      <c r="J3" s="34"/>
      <c r="K3" s="34"/>
      <c r="L3" s="34"/>
      <c r="M3" s="34"/>
      <c r="N3" s="34"/>
      <c r="O3" s="34"/>
      <c r="P3" s="34"/>
    </row>
    <row r="4" spans="2:17" ht="15" customHeight="1" x14ac:dyDescent="0.15">
      <c r="C4" s="140" t="str">
        <f>"【"&amp;製品カテゴリ&amp;"】"</f>
        <v>【AGV・AMR】</v>
      </c>
      <c r="D4" s="34"/>
      <c r="E4" s="34"/>
      <c r="F4" s="34"/>
      <c r="G4" s="34"/>
      <c r="H4" s="34"/>
      <c r="I4" s="34"/>
      <c r="J4" s="34"/>
      <c r="K4" s="35"/>
      <c r="L4" s="35"/>
      <c r="M4" s="35"/>
      <c r="N4" s="552" t="s">
        <v>21</v>
      </c>
      <c r="O4" s="552"/>
      <c r="P4" s="552"/>
    </row>
    <row r="5" spans="2:17" ht="7.5" customHeight="1" x14ac:dyDescent="0.15">
      <c r="C5" s="34"/>
      <c r="D5" s="34"/>
      <c r="E5" s="34"/>
      <c r="F5" s="34"/>
      <c r="G5" s="34"/>
      <c r="H5" s="34"/>
      <c r="I5" s="34"/>
      <c r="J5" s="34"/>
      <c r="K5" s="34"/>
      <c r="L5" s="34"/>
      <c r="M5" s="34"/>
      <c r="N5" s="34"/>
      <c r="O5" s="34"/>
      <c r="P5" s="34"/>
    </row>
    <row r="6" spans="2:17" x14ac:dyDescent="0.15">
      <c r="C6" s="11" t="s">
        <v>0</v>
      </c>
      <c r="D6" s="551">
        <f>製造事業者名</f>
        <v>0</v>
      </c>
      <c r="E6" s="551"/>
      <c r="F6" s="551"/>
      <c r="G6" s="551"/>
      <c r="H6" s="551"/>
      <c r="I6" s="551"/>
      <c r="J6" s="551"/>
      <c r="K6" s="551"/>
      <c r="L6" s="551"/>
      <c r="M6" s="551"/>
    </row>
    <row r="7" spans="2:17" x14ac:dyDescent="0.15">
      <c r="C7" s="11" t="s">
        <v>1</v>
      </c>
      <c r="D7" s="551">
        <f>型番</f>
        <v>0</v>
      </c>
      <c r="E7" s="551"/>
      <c r="F7" s="551"/>
      <c r="G7" s="551"/>
      <c r="H7" s="551"/>
      <c r="I7" s="551"/>
      <c r="J7" s="551"/>
      <c r="K7" s="551"/>
      <c r="L7" s="551"/>
      <c r="M7" s="551"/>
    </row>
    <row r="9" spans="2:17" x14ac:dyDescent="0.15">
      <c r="C9" s="1" t="s">
        <v>444</v>
      </c>
      <c r="D9" s="1"/>
    </row>
    <row r="10" spans="2:17" x14ac:dyDescent="0.15">
      <c r="C10" s="1"/>
      <c r="D10" s="1"/>
    </row>
    <row r="11" spans="2:17" x14ac:dyDescent="0.15">
      <c r="C11" s="37" t="s">
        <v>22</v>
      </c>
      <c r="D11" s="548" t="s">
        <v>123</v>
      </c>
      <c r="E11" s="549"/>
      <c r="F11" s="549"/>
      <c r="G11" s="549"/>
      <c r="H11" s="550"/>
    </row>
    <row r="13" spans="2:17" ht="17.25" x14ac:dyDescent="0.15">
      <c r="B13" s="17"/>
      <c r="C13" s="28" t="s">
        <v>24</v>
      </c>
      <c r="D13" s="28"/>
      <c r="E13" s="18"/>
      <c r="F13" s="18"/>
      <c r="G13" s="18"/>
      <c r="H13" s="18"/>
      <c r="I13" s="18"/>
      <c r="J13" s="18"/>
      <c r="K13" s="18"/>
      <c r="L13" s="18"/>
      <c r="M13" s="18"/>
      <c r="N13" s="18"/>
      <c r="O13" s="18"/>
      <c r="P13" s="18"/>
      <c r="Q13" s="19"/>
    </row>
    <row r="14" spans="2:17" x14ac:dyDescent="0.15">
      <c r="B14" s="20"/>
      <c r="C14" s="12"/>
      <c r="D14" s="12"/>
      <c r="Q14" s="21"/>
    </row>
    <row r="15" spans="2:17" x14ac:dyDescent="0.15">
      <c r="B15" s="20"/>
      <c r="C15" t="s">
        <v>25</v>
      </c>
      <c r="I15" s="72">
        <f>'利用が想定される中小企業（小売業）'!$D$10/2000*60</f>
        <v>0.65268810687776657</v>
      </c>
      <c r="J15" s="5" t="s">
        <v>26</v>
      </c>
      <c r="K15" s="5" t="s">
        <v>27</v>
      </c>
      <c r="L15" s="53">
        <f>'利用が想定される中小企業（小売業）'!$D$11/100</f>
        <v>176.43852623322294</v>
      </c>
      <c r="M15" s="5" t="s">
        <v>28</v>
      </c>
      <c r="N15" s="5" t="s">
        <v>29</v>
      </c>
      <c r="O15" s="7">
        <f>I15*L15/60</f>
        <v>1.9193221277910906</v>
      </c>
      <c r="P15" s="5" t="s">
        <v>30</v>
      </c>
      <c r="Q15" s="21"/>
    </row>
    <row r="16" spans="2:17" x14ac:dyDescent="0.15">
      <c r="B16" s="20"/>
      <c r="C16" t="s">
        <v>31</v>
      </c>
      <c r="I16" s="72">
        <f>'利用が想定される中小企業（小売業）'!$D$10/4000*60</f>
        <v>0.32634405343888329</v>
      </c>
      <c r="J16" s="5" t="s">
        <v>26</v>
      </c>
      <c r="K16" s="5" t="s">
        <v>27</v>
      </c>
      <c r="L16" s="53">
        <f>'利用が想定される中小企業（小売業）'!$D$11/100</f>
        <v>176.43852623322294</v>
      </c>
      <c r="M16" s="5" t="s">
        <v>28</v>
      </c>
      <c r="N16" s="5" t="s">
        <v>29</v>
      </c>
      <c r="O16" s="7">
        <f>I16*L16/60</f>
        <v>0.95966106389554529</v>
      </c>
      <c r="P16" s="5" t="s">
        <v>30</v>
      </c>
      <c r="Q16" s="21"/>
    </row>
    <row r="17" spans="2:17" x14ac:dyDescent="0.15">
      <c r="B17" s="20"/>
      <c r="C17" s="4" t="s">
        <v>32</v>
      </c>
      <c r="D17" s="4"/>
      <c r="E17" s="4"/>
      <c r="F17" s="4"/>
      <c r="G17" s="4"/>
      <c r="H17" s="4"/>
      <c r="I17" s="10">
        <v>0.5</v>
      </c>
      <c r="J17" s="8" t="s">
        <v>26</v>
      </c>
      <c r="K17" s="8" t="s">
        <v>27</v>
      </c>
      <c r="L17" s="54">
        <f>'利用が想定される中小企業（小売業）'!$D$11/100</f>
        <v>176.43852623322294</v>
      </c>
      <c r="M17" s="8" t="s">
        <v>28</v>
      </c>
      <c r="N17" s="8" t="s">
        <v>29</v>
      </c>
      <c r="O17" s="9">
        <f>I17*L17/60</f>
        <v>1.4703210519435246</v>
      </c>
      <c r="P17" s="8" t="s">
        <v>30</v>
      </c>
      <c r="Q17" s="21"/>
    </row>
    <row r="18" spans="2:17" x14ac:dyDescent="0.15">
      <c r="B18" s="20"/>
      <c r="C18" t="s">
        <v>33</v>
      </c>
      <c r="F18" s="5"/>
      <c r="G18" s="5"/>
      <c r="H18" s="5"/>
      <c r="I18" s="5"/>
      <c r="J18" s="5"/>
      <c r="K18" s="5"/>
      <c r="L18" s="5"/>
      <c r="M18" s="5"/>
      <c r="N18" s="5"/>
      <c r="O18" s="7">
        <f>SUM(O15:O17)</f>
        <v>4.3493042436301605</v>
      </c>
      <c r="P18" s="5" t="s">
        <v>30</v>
      </c>
      <c r="Q18" s="21"/>
    </row>
    <row r="19" spans="2:17" x14ac:dyDescent="0.15">
      <c r="B19" s="20"/>
      <c r="C19" t="s">
        <v>34</v>
      </c>
      <c r="F19" s="5"/>
      <c r="G19" s="5"/>
      <c r="H19" s="5"/>
      <c r="I19" s="5"/>
      <c r="J19" s="5"/>
      <c r="K19" s="5"/>
      <c r="L19" s="5"/>
      <c r="M19" s="5"/>
      <c r="N19" s="5"/>
      <c r="O19" s="13"/>
      <c r="P19" s="5"/>
      <c r="Q19" s="21"/>
    </row>
    <row r="20" spans="2:17" x14ac:dyDescent="0.15">
      <c r="B20" s="20"/>
      <c r="F20" s="5"/>
      <c r="G20" s="5"/>
      <c r="H20" s="5"/>
      <c r="I20" s="5"/>
      <c r="J20" s="5"/>
      <c r="K20" s="5"/>
      <c r="L20" s="5"/>
      <c r="M20" s="5"/>
      <c r="N20" s="5"/>
      <c r="O20" s="13"/>
      <c r="P20" s="5"/>
      <c r="Q20" s="21"/>
    </row>
    <row r="21" spans="2:17" x14ac:dyDescent="0.15">
      <c r="B21" s="20"/>
      <c r="C21" t="s">
        <v>105</v>
      </c>
      <c r="F21" s="72">
        <f>'利用が想定される中小企業（小売業）'!$D$10/30+'利用が想定される中小企業（小売業）'!$D$10/60</f>
        <v>1.0878135114629441</v>
      </c>
      <c r="G21" s="5" t="s">
        <v>26</v>
      </c>
      <c r="H21" s="5" t="s">
        <v>27</v>
      </c>
      <c r="I21" s="52">
        <f>IF(人の同伴=凡例!$L$1,1,0)</f>
        <v>0</v>
      </c>
      <c r="J21" s="5" t="s">
        <v>36</v>
      </c>
      <c r="K21" s="5" t="s">
        <v>27</v>
      </c>
      <c r="L21" s="52" t="e">
        <f>'利用が想定される中小企業（小売業）'!$D$11/(最大搬送重量*0.8)</f>
        <v>#DIV/0!</v>
      </c>
      <c r="M21" s="5" t="s">
        <v>28</v>
      </c>
      <c r="N21" s="5" t="s">
        <v>29</v>
      </c>
      <c r="O21" s="75" t="e">
        <f>F21*I21*L21/60</f>
        <v>#DIV/0!</v>
      </c>
      <c r="P21" s="5" t="s">
        <v>30</v>
      </c>
      <c r="Q21" s="21"/>
    </row>
    <row r="22" spans="2:17" x14ac:dyDescent="0.15">
      <c r="B22" s="20"/>
      <c r="C22" t="s">
        <v>37</v>
      </c>
      <c r="F22" s="6">
        <v>0.5</v>
      </c>
      <c r="G22" s="5" t="s">
        <v>26</v>
      </c>
      <c r="H22" s="5" t="s">
        <v>27</v>
      </c>
      <c r="I22" s="52">
        <f>IF(積み下ろし方法=凡例!$N$1,0,1)</f>
        <v>1</v>
      </c>
      <c r="J22" s="5" t="s">
        <v>36</v>
      </c>
      <c r="K22" s="5" t="s">
        <v>27</v>
      </c>
      <c r="L22" s="52" t="e">
        <f>'利用が想定される中小企業（小売業）'!$D$11/(最大搬送重量*0.8)</f>
        <v>#DIV/0!</v>
      </c>
      <c r="M22" s="5" t="s">
        <v>28</v>
      </c>
      <c r="N22" s="5" t="s">
        <v>29</v>
      </c>
      <c r="O22" s="75" t="e">
        <f>F22*I22*L22/60</f>
        <v>#DIV/0!</v>
      </c>
      <c r="P22" s="5" t="s">
        <v>30</v>
      </c>
      <c r="Q22" s="21"/>
    </row>
    <row r="23" spans="2:17" x14ac:dyDescent="0.15">
      <c r="B23" s="20"/>
      <c r="C23" t="s">
        <v>38</v>
      </c>
      <c r="F23" s="6">
        <v>0.25</v>
      </c>
      <c r="G23" s="5" t="s">
        <v>26</v>
      </c>
      <c r="H23" s="5" t="s">
        <v>27</v>
      </c>
      <c r="I23" s="52">
        <f>IF(ルート設定方法=凡例!$N$1,0,1)</f>
        <v>1</v>
      </c>
      <c r="J23" s="5" t="s">
        <v>36</v>
      </c>
      <c r="K23" s="5" t="s">
        <v>27</v>
      </c>
      <c r="L23" s="52" t="e">
        <f>'利用が想定される中小企業（小売業）'!$D$11/(最大搬送重量*0.8)</f>
        <v>#DIV/0!</v>
      </c>
      <c r="M23" s="5" t="s">
        <v>28</v>
      </c>
      <c r="N23" s="5" t="s">
        <v>29</v>
      </c>
      <c r="O23" s="75" t="e">
        <f>F23*I23*L23/60</f>
        <v>#DIV/0!</v>
      </c>
      <c r="P23" s="5" t="s">
        <v>30</v>
      </c>
      <c r="Q23" s="21"/>
    </row>
    <row r="24" spans="2:17" x14ac:dyDescent="0.15">
      <c r="B24" s="20"/>
      <c r="C24" s="4" t="s">
        <v>39</v>
      </c>
      <c r="D24" s="4"/>
      <c r="E24" s="4"/>
      <c r="F24" s="8"/>
      <c r="G24" s="8"/>
      <c r="H24" s="8"/>
      <c r="I24" s="79">
        <f>(5+30/'利用が想定される中小企業（小売業）'!$D$8)</f>
        <v>5.0999999999999996</v>
      </c>
      <c r="J24" s="8" t="s">
        <v>106</v>
      </c>
      <c r="K24" s="8" t="s">
        <v>27</v>
      </c>
      <c r="L24" s="10" t="e">
        <f>'利用が想定される中小企業（小売業）'!$D$12</f>
        <v>#DIV/0!</v>
      </c>
      <c r="M24" s="8" t="s">
        <v>41</v>
      </c>
      <c r="N24" s="8" t="s">
        <v>29</v>
      </c>
      <c r="O24" s="9" t="e">
        <f>(I24*L24)/60</f>
        <v>#DIV/0!</v>
      </c>
      <c r="P24" s="8" t="s">
        <v>30</v>
      </c>
      <c r="Q24" s="21"/>
    </row>
    <row r="25" spans="2:17" x14ac:dyDescent="0.15">
      <c r="B25" s="20"/>
      <c r="C25" t="s">
        <v>42</v>
      </c>
      <c r="F25" s="5"/>
      <c r="G25" s="5"/>
      <c r="H25" s="5"/>
      <c r="I25" s="5"/>
      <c r="J25" s="5"/>
      <c r="K25" s="5"/>
      <c r="L25" s="5"/>
      <c r="M25" s="5"/>
      <c r="N25" s="5"/>
      <c r="O25" s="65" t="e">
        <f>SUM(O21:O24)</f>
        <v>#DIV/0!</v>
      </c>
      <c r="P25" s="5" t="s">
        <v>30</v>
      </c>
      <c r="Q25" s="21"/>
    </row>
    <row r="26" spans="2:17" x14ac:dyDescent="0.15">
      <c r="B26" s="20"/>
      <c r="C26" t="s">
        <v>43</v>
      </c>
      <c r="F26" s="5"/>
      <c r="G26" s="5"/>
      <c r="H26" s="5"/>
      <c r="I26" s="5"/>
      <c r="J26" s="5"/>
      <c r="K26" s="5"/>
      <c r="L26" s="5"/>
      <c r="M26" s="5"/>
      <c r="N26" s="5"/>
      <c r="O26" s="13"/>
      <c r="P26" s="5"/>
      <c r="Q26" s="21"/>
    </row>
    <row r="27" spans="2:17" ht="14.25" thickBot="1" x14ac:dyDescent="0.2">
      <c r="B27" s="20"/>
      <c r="F27" s="5"/>
      <c r="G27" s="5"/>
      <c r="H27" s="5"/>
      <c r="I27" s="5"/>
      <c r="J27" s="5"/>
      <c r="K27" s="5"/>
      <c r="L27" s="5"/>
      <c r="M27" s="5"/>
      <c r="N27" s="5"/>
      <c r="O27" s="13"/>
      <c r="P27" s="5"/>
      <c r="Q27" s="21"/>
    </row>
    <row r="28" spans="2:17" ht="14.25" thickBot="1" x14ac:dyDescent="0.2">
      <c r="B28" s="20"/>
      <c r="C28" s="14" t="s">
        <v>44</v>
      </c>
      <c r="D28" s="14"/>
      <c r="E28" s="11" t="s">
        <v>45</v>
      </c>
      <c r="F28" s="7">
        <f>O18</f>
        <v>4.3493042436301605</v>
      </c>
      <c r="G28" s="5" t="s">
        <v>30</v>
      </c>
      <c r="H28" s="5" t="s">
        <v>46</v>
      </c>
      <c r="I28" s="15" t="e">
        <f>O25</f>
        <v>#DIV/0!</v>
      </c>
      <c r="J28" s="16" t="s">
        <v>47</v>
      </c>
      <c r="K28" s="5" t="s">
        <v>48</v>
      </c>
      <c r="L28" s="7">
        <f>O18</f>
        <v>4.3493042436301605</v>
      </c>
      <c r="M28" s="5" t="s">
        <v>30</v>
      </c>
      <c r="N28" s="5" t="s">
        <v>49</v>
      </c>
      <c r="O28" s="57" t="e">
        <f>(F28-I28)/L28</f>
        <v>#DIV/0!</v>
      </c>
      <c r="P28" s="5" t="s">
        <v>36</v>
      </c>
      <c r="Q28" s="21"/>
    </row>
    <row r="29" spans="2:17" x14ac:dyDescent="0.15">
      <c r="B29" s="20"/>
      <c r="C29" s="38" t="s">
        <v>50</v>
      </c>
      <c r="D29" s="38"/>
      <c r="F29" s="5"/>
      <c r="G29" s="5"/>
      <c r="H29" s="5"/>
      <c r="I29" s="5"/>
      <c r="J29" s="5"/>
      <c r="K29" s="5"/>
      <c r="L29" s="5"/>
      <c r="M29" s="5"/>
      <c r="N29" s="5"/>
      <c r="O29" s="5"/>
      <c r="P29" s="5"/>
      <c r="Q29" s="21"/>
    </row>
    <row r="30" spans="2:17" ht="14.25" thickBot="1" x14ac:dyDescent="0.2">
      <c r="B30" s="20"/>
      <c r="C30" s="38"/>
      <c r="D30" s="38"/>
      <c r="F30" s="5"/>
      <c r="G30" s="5"/>
      <c r="H30" s="5"/>
      <c r="I30" s="5"/>
      <c r="J30" s="5"/>
      <c r="K30" s="5"/>
      <c r="L30" s="5"/>
      <c r="M30" s="5"/>
      <c r="N30" s="5"/>
      <c r="O30" s="5"/>
      <c r="P30" s="5"/>
      <c r="Q30" s="21"/>
    </row>
    <row r="31" spans="2:17" ht="14.25" thickBot="1" x14ac:dyDescent="0.2">
      <c r="B31" s="20"/>
      <c r="C31" s="38" t="s">
        <v>51</v>
      </c>
      <c r="D31" s="38"/>
      <c r="F31" s="5"/>
      <c r="G31" s="5"/>
      <c r="H31" s="5"/>
      <c r="I31" s="5"/>
      <c r="J31" s="5"/>
      <c r="K31" s="5"/>
      <c r="L31" s="5"/>
      <c r="M31" s="5"/>
      <c r="N31" s="5"/>
      <c r="O31" s="40" t="e">
        <f>IF(O28&gt;=0.2,"適格","不適")</f>
        <v>#DIV/0!</v>
      </c>
      <c r="P31" s="5"/>
      <c r="Q31" s="21"/>
    </row>
    <row r="32" spans="2:17" x14ac:dyDescent="0.15">
      <c r="B32" s="22"/>
      <c r="C32" s="29"/>
      <c r="D32" s="29"/>
      <c r="E32" s="4"/>
      <c r="F32" s="8"/>
      <c r="G32" s="8"/>
      <c r="H32" s="8"/>
      <c r="I32" s="8"/>
      <c r="J32" s="8"/>
      <c r="K32" s="8"/>
      <c r="L32" s="8"/>
      <c r="M32" s="8"/>
      <c r="N32" s="8"/>
      <c r="O32" s="8"/>
      <c r="P32" s="8"/>
      <c r="Q32" s="23"/>
    </row>
    <row r="33" spans="2:24" x14ac:dyDescent="0.15">
      <c r="F33" s="5"/>
      <c r="G33" s="5"/>
      <c r="H33" s="5"/>
      <c r="I33" s="5"/>
      <c r="J33" s="5"/>
      <c r="K33" s="5"/>
      <c r="L33" s="5"/>
      <c r="M33" s="5"/>
      <c r="N33" s="5"/>
      <c r="O33" s="5"/>
      <c r="P33" s="5"/>
      <c r="X33" s="16"/>
    </row>
    <row r="34" spans="2:24" ht="17.25" x14ac:dyDescent="0.15">
      <c r="B34" s="17"/>
      <c r="C34" s="28" t="s">
        <v>52</v>
      </c>
      <c r="D34" s="28"/>
      <c r="E34" s="18"/>
      <c r="F34" s="24"/>
      <c r="G34" s="24"/>
      <c r="H34" s="24"/>
      <c r="I34" s="24"/>
      <c r="J34" s="24"/>
      <c r="K34" s="24"/>
      <c r="L34" s="24"/>
      <c r="M34" s="24"/>
      <c r="N34" s="24"/>
      <c r="O34" s="24"/>
      <c r="P34" s="24"/>
      <c r="Q34" s="19"/>
    </row>
    <row r="35" spans="2:24" ht="14.25" thickBot="1" x14ac:dyDescent="0.2">
      <c r="B35" s="20"/>
      <c r="F35" s="5"/>
      <c r="G35" s="5"/>
      <c r="H35" s="5"/>
      <c r="I35" s="5"/>
      <c r="J35" s="5"/>
      <c r="K35" s="5"/>
      <c r="L35" s="5"/>
      <c r="M35" s="5"/>
      <c r="N35" s="5"/>
      <c r="O35" s="5"/>
      <c r="P35" s="5"/>
      <c r="Q35" s="21"/>
    </row>
    <row r="36" spans="2:24" ht="14.25" thickBot="1" x14ac:dyDescent="0.2">
      <c r="B36" s="20"/>
      <c r="C36" t="s">
        <v>53</v>
      </c>
      <c r="F36" s="5"/>
      <c r="G36" s="5"/>
      <c r="H36" s="5"/>
      <c r="I36" s="5"/>
      <c r="J36" s="5"/>
      <c r="K36" s="5"/>
      <c r="L36" s="5"/>
      <c r="M36" s="5"/>
      <c r="N36" s="5"/>
      <c r="O36" s="225">
        <f>機器費用/1000</f>
        <v>0</v>
      </c>
      <c r="P36" s="5" t="s">
        <v>15</v>
      </c>
      <c r="Q36" s="21"/>
    </row>
    <row r="37" spans="2:24" ht="14.25" thickBot="1" x14ac:dyDescent="0.2">
      <c r="B37" s="20"/>
      <c r="C37" t="s">
        <v>54</v>
      </c>
      <c r="F37" s="5"/>
      <c r="G37" s="5"/>
      <c r="H37" s="5"/>
      <c r="I37" s="5"/>
      <c r="J37" s="5"/>
      <c r="K37" s="5"/>
      <c r="L37" s="5"/>
      <c r="M37" s="5"/>
      <c r="N37" s="5"/>
      <c r="O37" s="225">
        <f>設定費用/1000</f>
        <v>0</v>
      </c>
      <c r="P37" s="5" t="s">
        <v>15</v>
      </c>
      <c r="Q37" s="21"/>
    </row>
    <row r="38" spans="2:24" x14ac:dyDescent="0.15">
      <c r="B38" s="20"/>
      <c r="C38" s="4" t="s">
        <v>55</v>
      </c>
      <c r="D38" s="4"/>
      <c r="E38" s="4"/>
      <c r="F38" s="8"/>
      <c r="G38" s="8"/>
      <c r="H38" s="8"/>
      <c r="I38" s="77">
        <f>IF(製品区分=凡例!A11,8,16)</f>
        <v>16</v>
      </c>
      <c r="J38" s="8" t="s">
        <v>57</v>
      </c>
      <c r="K38" s="8" t="s">
        <v>27</v>
      </c>
      <c r="L38" s="10">
        <f>'利用が想定される中小企業（小売業）'!$D$4</f>
        <v>1.6679999999999999</v>
      </c>
      <c r="M38" s="8" t="s">
        <v>56</v>
      </c>
      <c r="N38" s="8" t="s">
        <v>29</v>
      </c>
      <c r="O38" s="87">
        <f>I38*L38</f>
        <v>26.687999999999999</v>
      </c>
      <c r="P38" s="8" t="s">
        <v>58</v>
      </c>
      <c r="Q38" s="21"/>
    </row>
    <row r="39" spans="2:24" x14ac:dyDescent="0.15">
      <c r="B39" s="20"/>
      <c r="C39" t="s">
        <v>59</v>
      </c>
      <c r="F39" s="5"/>
      <c r="G39" s="5"/>
      <c r="H39" s="5"/>
      <c r="I39" s="5"/>
      <c r="J39" s="5"/>
      <c r="K39" s="5"/>
      <c r="L39" s="5"/>
      <c r="M39" s="5"/>
      <c r="N39" s="5"/>
      <c r="O39" s="25">
        <f>SUM(O36:O38)</f>
        <v>26.687999999999999</v>
      </c>
      <c r="P39" s="5" t="s">
        <v>58</v>
      </c>
      <c r="Q39" s="21"/>
    </row>
    <row r="40" spans="2:24" x14ac:dyDescent="0.15">
      <c r="B40" s="20"/>
      <c r="F40" s="5"/>
      <c r="G40" s="5"/>
      <c r="H40" s="5"/>
      <c r="I40" s="5"/>
      <c r="J40" s="5"/>
      <c r="K40" s="5"/>
      <c r="L40" s="5"/>
      <c r="M40" s="5"/>
      <c r="N40" s="5"/>
      <c r="O40" s="26"/>
      <c r="P40" s="5"/>
      <c r="Q40" s="21"/>
    </row>
    <row r="41" spans="2:24" x14ac:dyDescent="0.15">
      <c r="B41" s="20"/>
      <c r="C41" t="s">
        <v>60</v>
      </c>
      <c r="F41" s="6">
        <f>'利用が想定される中小企業（小売業）'!$D$4</f>
        <v>1.6679999999999999</v>
      </c>
      <c r="G41" s="5" t="s">
        <v>56</v>
      </c>
      <c r="H41" s="5" t="s">
        <v>27</v>
      </c>
      <c r="I41" s="15" t="e">
        <f>(O18-O25)/'利用が想定される中小企業（小売業）'!$D$12</f>
        <v>#DIV/0!</v>
      </c>
      <c r="J41" s="5" t="s">
        <v>61</v>
      </c>
      <c r="K41" s="5" t="s">
        <v>27</v>
      </c>
      <c r="L41" s="53">
        <f>'利用が想定される中小企業（小売業）'!$D$8</f>
        <v>300</v>
      </c>
      <c r="M41" s="5" t="s">
        <v>62</v>
      </c>
      <c r="N41" s="5" t="s">
        <v>29</v>
      </c>
      <c r="O41" s="25" t="e">
        <f>F41*I41*L41</f>
        <v>#DIV/0!</v>
      </c>
      <c r="P41" s="5" t="s">
        <v>63</v>
      </c>
      <c r="Q41" s="21"/>
    </row>
    <row r="42" spans="2:24" x14ac:dyDescent="0.15">
      <c r="B42" s="20"/>
      <c r="C42" s="4" t="s">
        <v>64</v>
      </c>
      <c r="D42" s="4"/>
      <c r="E42" s="4"/>
      <c r="F42" s="4"/>
      <c r="G42" s="8"/>
      <c r="H42" s="8"/>
      <c r="I42" s="84">
        <f>'利用が想定される中小企業（小売業）'!$D$5</f>
        <v>70</v>
      </c>
      <c r="J42" s="8" t="s">
        <v>65</v>
      </c>
      <c r="K42" s="8" t="s">
        <v>27</v>
      </c>
      <c r="L42" s="76" t="e">
        <f>(O18-O25)/8/'利用が想定される中小企業（小売業）'!$D$12</f>
        <v>#DIV/0!</v>
      </c>
      <c r="M42" s="8" t="s">
        <v>66</v>
      </c>
      <c r="N42" s="8" t="s">
        <v>29</v>
      </c>
      <c r="O42" s="86" t="e">
        <f>I42*L42</f>
        <v>#DIV/0!</v>
      </c>
      <c r="P42" s="8" t="s">
        <v>63</v>
      </c>
      <c r="Q42" s="21"/>
    </row>
    <row r="43" spans="2:24" x14ac:dyDescent="0.15">
      <c r="B43" s="20"/>
      <c r="C43" t="s">
        <v>67</v>
      </c>
      <c r="F43" s="5"/>
      <c r="G43" s="5"/>
      <c r="H43" s="5"/>
      <c r="I43" s="56"/>
      <c r="J43" s="5"/>
      <c r="K43" s="5"/>
      <c r="L43" s="5"/>
      <c r="M43" s="5"/>
      <c r="N43" s="5"/>
      <c r="O43" s="25" t="e">
        <f>SUM(O41:O42)</f>
        <v>#DIV/0!</v>
      </c>
      <c r="P43" s="5" t="s">
        <v>63</v>
      </c>
      <c r="Q43" s="21"/>
    </row>
    <row r="44" spans="2:24" ht="14.25" thickBot="1" x14ac:dyDescent="0.2">
      <c r="B44" s="20"/>
      <c r="F44" s="5"/>
      <c r="G44" s="5"/>
      <c r="H44" s="5"/>
      <c r="I44" s="5"/>
      <c r="J44" s="5"/>
      <c r="K44" s="5"/>
      <c r="L44" s="5"/>
      <c r="M44" s="5"/>
      <c r="N44" s="5"/>
      <c r="O44" s="26"/>
      <c r="P44" s="5"/>
      <c r="Q44" s="21"/>
    </row>
    <row r="45" spans="2:24" ht="14.25" thickBot="1" x14ac:dyDescent="0.2">
      <c r="B45" s="20"/>
      <c r="C45" s="14" t="s">
        <v>68</v>
      </c>
      <c r="D45" s="14"/>
      <c r="E45" s="5"/>
      <c r="F45" s="5"/>
      <c r="G45" s="5"/>
      <c r="H45" s="5"/>
      <c r="I45" s="27">
        <f>O39</f>
        <v>26.687999999999999</v>
      </c>
      <c r="J45" s="5" t="s">
        <v>15</v>
      </c>
      <c r="K45" s="5" t="s">
        <v>48</v>
      </c>
      <c r="L45" s="25" t="e">
        <f>O43</f>
        <v>#DIV/0!</v>
      </c>
      <c r="M45" s="5" t="s">
        <v>63</v>
      </c>
      <c r="N45" s="5" t="s">
        <v>29</v>
      </c>
      <c r="O45" s="32" t="e">
        <f>I45/L45</f>
        <v>#DIV/0!</v>
      </c>
      <c r="P45" s="5" t="s">
        <v>69</v>
      </c>
      <c r="Q45" s="21"/>
    </row>
    <row r="46" spans="2:24" x14ac:dyDescent="0.15">
      <c r="B46" s="20"/>
      <c r="C46" s="38" t="s">
        <v>70</v>
      </c>
      <c r="D46" s="14"/>
      <c r="F46" s="5"/>
      <c r="G46" s="5"/>
      <c r="H46" s="5"/>
      <c r="I46" s="39"/>
      <c r="J46" s="5"/>
      <c r="K46" s="5"/>
      <c r="L46" s="5"/>
      <c r="M46" s="5"/>
      <c r="N46" s="5"/>
      <c r="O46" s="13"/>
      <c r="P46" s="5"/>
      <c r="Q46" s="21"/>
    </row>
    <row r="47" spans="2:24" ht="14.25" thickBot="1" x14ac:dyDescent="0.2">
      <c r="B47" s="20"/>
      <c r="C47" s="38"/>
      <c r="D47" s="14"/>
      <c r="F47" s="5"/>
      <c r="G47" s="5"/>
      <c r="H47" s="5"/>
      <c r="I47" s="39"/>
      <c r="J47" s="5"/>
      <c r="K47" s="5"/>
      <c r="L47" s="5"/>
      <c r="M47" s="5"/>
      <c r="N47" s="5"/>
      <c r="O47" s="13"/>
      <c r="P47" s="5"/>
      <c r="Q47" s="21"/>
    </row>
    <row r="48" spans="2:24" ht="14.25" thickBot="1" x14ac:dyDescent="0.2">
      <c r="B48" s="20"/>
      <c r="C48" s="38" t="s">
        <v>51</v>
      </c>
      <c r="D48" s="14"/>
      <c r="F48" s="5"/>
      <c r="G48" s="5"/>
      <c r="H48" s="5"/>
      <c r="I48" s="39"/>
      <c r="J48" s="5"/>
      <c r="K48" s="5"/>
      <c r="L48" s="5"/>
      <c r="M48" s="5"/>
      <c r="N48" s="5"/>
      <c r="O48" s="32" t="e">
        <f>IF(O45&lt;4,"適格","不適")</f>
        <v>#DIV/0!</v>
      </c>
      <c r="P48" s="5"/>
      <c r="Q48" s="21"/>
    </row>
    <row r="49" spans="2:18" x14ac:dyDescent="0.15">
      <c r="B49" s="22"/>
      <c r="C49" s="29"/>
      <c r="D49" s="29"/>
      <c r="E49" s="4"/>
      <c r="F49" s="4"/>
      <c r="G49" s="4"/>
      <c r="H49" s="4"/>
      <c r="I49" s="4"/>
      <c r="J49" s="4"/>
      <c r="K49" s="4"/>
      <c r="L49" s="4"/>
      <c r="M49" s="4"/>
      <c r="N49" s="4"/>
      <c r="O49" s="4"/>
      <c r="P49" s="4"/>
      <c r="Q49" s="23"/>
    </row>
    <row r="50" spans="2:18" x14ac:dyDescent="0.15">
      <c r="R50" s="33" t="s">
        <v>17</v>
      </c>
    </row>
  </sheetData>
  <sheetProtection algorithmName="SHA-512" hashValue="FOtA4G5rlhHf1NHmR5aFIRELpDsYK8Z5YWCz3i+Id07cbbPZE0/n/dbHJEi1Gw7Mblf90oeGz99pUT2w5jYluQ==" saltValue="6z3AcRYCIawZ8sDC9xoRGA==" spinCount="100000" sheet="1" objects="1" scenarios="1"/>
  <mergeCells count="5">
    <mergeCell ref="C2:P2"/>
    <mergeCell ref="N4:P4"/>
    <mergeCell ref="D6:M6"/>
    <mergeCell ref="D7:M7"/>
    <mergeCell ref="D11:H11"/>
  </mergeCells>
  <phoneticPr fontId="1"/>
  <pageMargins left="0.7" right="0.7" top="0.75" bottom="0.75" header="0.3" footer="0.3"/>
  <pageSetup paperSize="9" scale="5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C01F9-264B-4F0A-A957-077ED1081E40}">
  <sheetPr codeName="Sheet18">
    <pageSetUpPr fitToPage="1"/>
  </sheetPr>
  <dimension ref="B2:X50"/>
  <sheetViews>
    <sheetView view="pageBreakPreview" zoomScaleNormal="100" zoomScaleSheetLayoutView="100" workbookViewId="0"/>
  </sheetViews>
  <sheetFormatPr defaultRowHeight="13.5" x14ac:dyDescent="0.15"/>
  <cols>
    <col min="1" max="2" width="2.75" customWidth="1"/>
    <col min="3" max="3" width="28.125" customWidth="1"/>
    <col min="4" max="4" width="10.625" customWidth="1"/>
    <col min="5" max="5" width="2.625" customWidth="1"/>
    <col min="6" max="6" width="8.125" customWidth="1"/>
    <col min="7" max="7" width="11.375" bestFit="1" customWidth="1"/>
    <col min="8" max="8" width="3.375" customWidth="1"/>
    <col min="9" max="9" width="14.375" customWidth="1"/>
    <col min="10" max="10" width="11.375" bestFit="1" customWidth="1"/>
    <col min="11" max="11" width="3.375" bestFit="1" customWidth="1"/>
    <col min="12" max="12" width="14.375" customWidth="1"/>
    <col min="13" max="13" width="9.625" customWidth="1"/>
    <col min="14" max="14" width="3.375" bestFit="1" customWidth="1"/>
    <col min="15" max="16" width="9.625" customWidth="1"/>
    <col min="17" max="18" width="2.875" customWidth="1"/>
  </cols>
  <sheetData>
    <row r="2" spans="2:17" ht="23.45" customHeight="1" x14ac:dyDescent="0.15">
      <c r="C2" s="268" t="s">
        <v>20</v>
      </c>
      <c r="D2" s="268"/>
      <c r="E2" s="268"/>
      <c r="F2" s="268"/>
      <c r="G2" s="268"/>
      <c r="H2" s="268"/>
      <c r="I2" s="268"/>
      <c r="J2" s="268"/>
      <c r="K2" s="268"/>
      <c r="L2" s="268"/>
      <c r="M2" s="268"/>
      <c r="N2" s="268"/>
      <c r="O2" s="268"/>
      <c r="P2" s="268"/>
    </row>
    <row r="3" spans="2:17" ht="7.5" customHeight="1" x14ac:dyDescent="0.15">
      <c r="C3" s="34"/>
      <c r="D3" s="34"/>
      <c r="E3" s="34"/>
      <c r="F3" s="34"/>
      <c r="G3" s="34"/>
      <c r="H3" s="34"/>
      <c r="I3" s="34"/>
      <c r="J3" s="34"/>
      <c r="K3" s="34"/>
      <c r="L3" s="34"/>
      <c r="M3" s="34"/>
      <c r="N3" s="34"/>
      <c r="O3" s="34"/>
      <c r="P3" s="34"/>
    </row>
    <row r="4" spans="2:17" ht="15" customHeight="1" x14ac:dyDescent="0.15">
      <c r="C4" s="140" t="str">
        <f>"【"&amp;製品カテゴリ&amp;"】"</f>
        <v>【AGV・AMR】</v>
      </c>
      <c r="D4" s="34"/>
      <c r="E4" s="34"/>
      <c r="F4" s="34"/>
      <c r="G4" s="34"/>
      <c r="H4" s="34"/>
      <c r="I4" s="34"/>
      <c r="J4" s="34"/>
      <c r="K4" s="35"/>
      <c r="L4" s="35"/>
      <c r="M4" s="35"/>
      <c r="N4" s="552" t="s">
        <v>21</v>
      </c>
      <c r="O4" s="552"/>
      <c r="P4" s="552"/>
    </row>
    <row r="5" spans="2:17" ht="7.5" customHeight="1" x14ac:dyDescent="0.15">
      <c r="C5" s="34"/>
      <c r="D5" s="34"/>
      <c r="E5" s="34"/>
      <c r="F5" s="34"/>
      <c r="G5" s="34"/>
      <c r="H5" s="34"/>
      <c r="I5" s="34"/>
      <c r="J5" s="34"/>
      <c r="K5" s="34"/>
      <c r="L5" s="34"/>
      <c r="M5" s="34"/>
      <c r="N5" s="34"/>
      <c r="O5" s="34"/>
      <c r="P5" s="34"/>
    </row>
    <row r="6" spans="2:17" x14ac:dyDescent="0.15">
      <c r="C6" s="11" t="s">
        <v>0</v>
      </c>
      <c r="D6" s="551">
        <f>製造事業者名</f>
        <v>0</v>
      </c>
      <c r="E6" s="551"/>
      <c r="F6" s="551"/>
      <c r="G6" s="551"/>
      <c r="H6" s="551"/>
      <c r="I6" s="551"/>
      <c r="J6" s="551"/>
      <c r="K6" s="551"/>
      <c r="L6" s="551"/>
      <c r="M6" s="551"/>
    </row>
    <row r="7" spans="2:17" x14ac:dyDescent="0.15">
      <c r="C7" s="11" t="s">
        <v>1</v>
      </c>
      <c r="D7" s="551">
        <f>型番</f>
        <v>0</v>
      </c>
      <c r="E7" s="551"/>
      <c r="F7" s="551"/>
      <c r="G7" s="551"/>
      <c r="H7" s="551"/>
      <c r="I7" s="551"/>
      <c r="J7" s="551"/>
      <c r="K7" s="551"/>
      <c r="L7" s="551"/>
      <c r="M7" s="551"/>
    </row>
    <row r="9" spans="2:17" x14ac:dyDescent="0.15">
      <c r="C9" s="1" t="s">
        <v>444</v>
      </c>
      <c r="D9" s="1"/>
    </row>
    <row r="10" spans="2:17" x14ac:dyDescent="0.15">
      <c r="C10" s="1"/>
      <c r="D10" s="1"/>
    </row>
    <row r="11" spans="2:17" x14ac:dyDescent="0.15">
      <c r="C11" s="37" t="s">
        <v>22</v>
      </c>
      <c r="D11" s="548" t="s">
        <v>124</v>
      </c>
      <c r="E11" s="549"/>
      <c r="F11" s="549"/>
      <c r="G11" s="549"/>
      <c r="H11" s="550"/>
    </row>
    <row r="13" spans="2:17" ht="17.25" x14ac:dyDescent="0.15">
      <c r="B13" s="17"/>
      <c r="C13" s="28" t="s">
        <v>24</v>
      </c>
      <c r="D13" s="28"/>
      <c r="E13" s="18"/>
      <c r="F13" s="18"/>
      <c r="G13" s="18"/>
      <c r="H13" s="18"/>
      <c r="I13" s="18"/>
      <c r="J13" s="18"/>
      <c r="K13" s="18"/>
      <c r="L13" s="18"/>
      <c r="M13" s="18"/>
      <c r="N13" s="18"/>
      <c r="O13" s="18"/>
      <c r="P13" s="18"/>
      <c r="Q13" s="19"/>
    </row>
    <row r="14" spans="2:17" x14ac:dyDescent="0.15">
      <c r="B14" s="20"/>
      <c r="C14" s="12"/>
      <c r="D14" s="12"/>
      <c r="Q14" s="21"/>
    </row>
    <row r="15" spans="2:17" x14ac:dyDescent="0.15">
      <c r="B15" s="20"/>
      <c r="C15" t="s">
        <v>25</v>
      </c>
      <c r="I15" s="72">
        <f>'利用が想定される中小企業（小売業）'!$E$10/2000*60</f>
        <v>0.94258572091680448</v>
      </c>
      <c r="J15" s="5" t="s">
        <v>26</v>
      </c>
      <c r="K15" s="5" t="s">
        <v>27</v>
      </c>
      <c r="L15" s="53">
        <f>'利用が想定される中小企業（小売業）'!$E$11/100</f>
        <v>367.97959410339257</v>
      </c>
      <c r="M15" s="5" t="s">
        <v>28</v>
      </c>
      <c r="N15" s="5" t="s">
        <v>29</v>
      </c>
      <c r="O15" s="7">
        <f>I15*L15/60</f>
        <v>5.7808718498436571</v>
      </c>
      <c r="P15" s="5" t="s">
        <v>30</v>
      </c>
      <c r="Q15" s="21"/>
    </row>
    <row r="16" spans="2:17" x14ac:dyDescent="0.15">
      <c r="B16" s="20"/>
      <c r="C16" t="s">
        <v>31</v>
      </c>
      <c r="I16" s="72">
        <f>'利用が想定される中小企業（小売業）'!$E$10/4000*60</f>
        <v>0.47129286045840224</v>
      </c>
      <c r="J16" s="5" t="s">
        <v>26</v>
      </c>
      <c r="K16" s="5" t="s">
        <v>27</v>
      </c>
      <c r="L16" s="53">
        <f>'利用が想定される中小企業（小売業）'!$E$11/100</f>
        <v>367.97959410339257</v>
      </c>
      <c r="M16" s="5" t="s">
        <v>28</v>
      </c>
      <c r="N16" s="5" t="s">
        <v>29</v>
      </c>
      <c r="O16" s="7">
        <f>I16*L16/60</f>
        <v>2.8904359249218285</v>
      </c>
      <c r="P16" s="5" t="s">
        <v>30</v>
      </c>
      <c r="Q16" s="21"/>
    </row>
    <row r="17" spans="2:17" x14ac:dyDescent="0.15">
      <c r="B17" s="20"/>
      <c r="C17" s="4" t="s">
        <v>32</v>
      </c>
      <c r="D17" s="4"/>
      <c r="E17" s="4"/>
      <c r="F17" s="4"/>
      <c r="G17" s="4"/>
      <c r="H17" s="4"/>
      <c r="I17" s="10">
        <v>0.5</v>
      </c>
      <c r="J17" s="8" t="s">
        <v>26</v>
      </c>
      <c r="K17" s="8" t="s">
        <v>27</v>
      </c>
      <c r="L17" s="54">
        <f>'利用が想定される中小企業（小売業）'!$E$11/100</f>
        <v>367.97959410339257</v>
      </c>
      <c r="M17" s="8" t="s">
        <v>28</v>
      </c>
      <c r="N17" s="8" t="s">
        <v>29</v>
      </c>
      <c r="O17" s="9">
        <f>I17*L17/60</f>
        <v>3.0664966175282715</v>
      </c>
      <c r="P17" s="8" t="s">
        <v>30</v>
      </c>
      <c r="Q17" s="21"/>
    </row>
    <row r="18" spans="2:17" x14ac:dyDescent="0.15">
      <c r="B18" s="20"/>
      <c r="C18" t="s">
        <v>33</v>
      </c>
      <c r="F18" s="5"/>
      <c r="G18" s="5"/>
      <c r="H18" s="5"/>
      <c r="I18" s="5"/>
      <c r="J18" s="5"/>
      <c r="K18" s="5"/>
      <c r="L18" s="5"/>
      <c r="M18" s="5"/>
      <c r="N18" s="5"/>
      <c r="O18" s="7">
        <f>SUM(O15:O17)</f>
        <v>11.737804392293757</v>
      </c>
      <c r="P18" s="5" t="s">
        <v>30</v>
      </c>
      <c r="Q18" s="21"/>
    </row>
    <row r="19" spans="2:17" x14ac:dyDescent="0.15">
      <c r="B19" s="20"/>
      <c r="C19" t="s">
        <v>34</v>
      </c>
      <c r="F19" s="5"/>
      <c r="G19" s="5"/>
      <c r="H19" s="5"/>
      <c r="I19" s="5"/>
      <c r="J19" s="5"/>
      <c r="K19" s="5"/>
      <c r="L19" s="5"/>
      <c r="M19" s="5"/>
      <c r="N19" s="5"/>
      <c r="O19" s="13"/>
      <c r="P19" s="5"/>
      <c r="Q19" s="21"/>
    </row>
    <row r="20" spans="2:17" x14ac:dyDescent="0.15">
      <c r="B20" s="20"/>
      <c r="F20" s="5"/>
      <c r="G20" s="5"/>
      <c r="H20" s="5"/>
      <c r="I20" s="5"/>
      <c r="J20" s="5"/>
      <c r="K20" s="5"/>
      <c r="L20" s="5"/>
      <c r="M20" s="5"/>
      <c r="N20" s="5"/>
      <c r="O20" s="13"/>
      <c r="P20" s="5"/>
      <c r="Q20" s="21"/>
    </row>
    <row r="21" spans="2:17" x14ac:dyDescent="0.15">
      <c r="B21" s="20"/>
      <c r="C21" t="s">
        <v>105</v>
      </c>
      <c r="F21" s="72">
        <f>'利用が想定される中小企業（小売業）'!$E$10/30+'利用が想定される中小企業（小売業）'!$E$10/60</f>
        <v>1.5709762015280075</v>
      </c>
      <c r="G21" s="5" t="s">
        <v>26</v>
      </c>
      <c r="H21" s="5" t="s">
        <v>27</v>
      </c>
      <c r="I21" s="52">
        <f>IF(人の同伴=凡例!$L$1,1,0)</f>
        <v>0</v>
      </c>
      <c r="J21" s="5" t="s">
        <v>36</v>
      </c>
      <c r="K21" s="5" t="s">
        <v>27</v>
      </c>
      <c r="L21" s="52" t="e">
        <f>'利用が想定される中小企業（小売業）'!$E$11/(最大搬送重量*0.8)</f>
        <v>#DIV/0!</v>
      </c>
      <c r="M21" s="5" t="s">
        <v>28</v>
      </c>
      <c r="N21" s="5" t="s">
        <v>29</v>
      </c>
      <c r="O21" s="75" t="e">
        <f>F21*I21*L21/60</f>
        <v>#DIV/0!</v>
      </c>
      <c r="P21" s="5" t="s">
        <v>30</v>
      </c>
      <c r="Q21" s="21"/>
    </row>
    <row r="22" spans="2:17" x14ac:dyDescent="0.15">
      <c r="B22" s="20"/>
      <c r="C22" t="s">
        <v>37</v>
      </c>
      <c r="F22" s="6">
        <v>0.5</v>
      </c>
      <c r="G22" s="5" t="s">
        <v>26</v>
      </c>
      <c r="H22" s="5" t="s">
        <v>27</v>
      </c>
      <c r="I22" s="52">
        <f>IF(積み下ろし方法=凡例!$N$1,0,1)</f>
        <v>1</v>
      </c>
      <c r="J22" s="5" t="s">
        <v>36</v>
      </c>
      <c r="K22" s="5" t="s">
        <v>27</v>
      </c>
      <c r="L22" s="52" t="e">
        <f>'利用が想定される中小企業（小売業）'!$E$11/(最大搬送重量*0.8)</f>
        <v>#DIV/0!</v>
      </c>
      <c r="M22" s="5" t="s">
        <v>28</v>
      </c>
      <c r="N22" s="5" t="s">
        <v>29</v>
      </c>
      <c r="O22" s="75" t="e">
        <f>F22*I22*L22/60</f>
        <v>#DIV/0!</v>
      </c>
      <c r="P22" s="5" t="s">
        <v>30</v>
      </c>
      <c r="Q22" s="21"/>
    </row>
    <row r="23" spans="2:17" x14ac:dyDescent="0.15">
      <c r="B23" s="20"/>
      <c r="C23" t="s">
        <v>38</v>
      </c>
      <c r="F23" s="6">
        <v>0.25</v>
      </c>
      <c r="G23" s="5" t="s">
        <v>26</v>
      </c>
      <c r="H23" s="5" t="s">
        <v>27</v>
      </c>
      <c r="I23" s="52">
        <f>IF(ルート設定方法=凡例!$N$1,0,1)</f>
        <v>1</v>
      </c>
      <c r="J23" s="5" t="s">
        <v>36</v>
      </c>
      <c r="K23" s="5" t="s">
        <v>27</v>
      </c>
      <c r="L23" s="52" t="e">
        <f>'利用が想定される中小企業（小売業）'!$E$11/(最大搬送重量*0.8)</f>
        <v>#DIV/0!</v>
      </c>
      <c r="M23" s="5" t="s">
        <v>28</v>
      </c>
      <c r="N23" s="5" t="s">
        <v>29</v>
      </c>
      <c r="O23" s="75" t="e">
        <f>F23*I23*L23/60</f>
        <v>#DIV/0!</v>
      </c>
      <c r="P23" s="5" t="s">
        <v>30</v>
      </c>
      <c r="Q23" s="21"/>
    </row>
    <row r="24" spans="2:17" x14ac:dyDescent="0.15">
      <c r="B24" s="20"/>
      <c r="C24" s="4" t="s">
        <v>39</v>
      </c>
      <c r="D24" s="4"/>
      <c r="E24" s="4"/>
      <c r="F24" s="8"/>
      <c r="G24" s="8"/>
      <c r="H24" s="8"/>
      <c r="I24" s="10">
        <f>(5+30/'利用が想定される中小企業（小売業）'!$E$8)</f>
        <v>5.0999999999999996</v>
      </c>
      <c r="J24" s="8" t="s">
        <v>106</v>
      </c>
      <c r="K24" s="8" t="s">
        <v>27</v>
      </c>
      <c r="L24" s="10" t="e">
        <f>'利用が想定される中小企業（小売業）'!$E$12</f>
        <v>#DIV/0!</v>
      </c>
      <c r="M24" s="8" t="s">
        <v>41</v>
      </c>
      <c r="N24" s="8" t="s">
        <v>29</v>
      </c>
      <c r="O24" s="9" t="e">
        <f>(I24*L24)/60</f>
        <v>#DIV/0!</v>
      </c>
      <c r="P24" s="8" t="s">
        <v>30</v>
      </c>
      <c r="Q24" s="21"/>
    </row>
    <row r="25" spans="2:17" x14ac:dyDescent="0.15">
      <c r="B25" s="20"/>
      <c r="C25" t="s">
        <v>42</v>
      </c>
      <c r="F25" s="5"/>
      <c r="G25" s="5"/>
      <c r="H25" s="5"/>
      <c r="I25" s="5"/>
      <c r="J25" s="5"/>
      <c r="K25" s="5"/>
      <c r="L25" s="5"/>
      <c r="M25" s="5"/>
      <c r="N25" s="5"/>
      <c r="O25" s="65" t="e">
        <f>SUM(O21:O24)</f>
        <v>#DIV/0!</v>
      </c>
      <c r="P25" s="5" t="s">
        <v>30</v>
      </c>
      <c r="Q25" s="21"/>
    </row>
    <row r="26" spans="2:17" x14ac:dyDescent="0.15">
      <c r="B26" s="20"/>
      <c r="C26" t="s">
        <v>43</v>
      </c>
      <c r="F26" s="5"/>
      <c r="G26" s="5"/>
      <c r="H26" s="5"/>
      <c r="I26" s="5"/>
      <c r="J26" s="5"/>
      <c r="K26" s="5"/>
      <c r="L26" s="5"/>
      <c r="M26" s="5"/>
      <c r="N26" s="5"/>
      <c r="O26" s="13"/>
      <c r="P26" s="5"/>
      <c r="Q26" s="21"/>
    </row>
    <row r="27" spans="2:17" ht="14.25" thickBot="1" x14ac:dyDescent="0.2">
      <c r="B27" s="20"/>
      <c r="F27" s="5"/>
      <c r="G27" s="5"/>
      <c r="H27" s="5"/>
      <c r="I27" s="5"/>
      <c r="J27" s="5"/>
      <c r="K27" s="5"/>
      <c r="L27" s="5"/>
      <c r="M27" s="5"/>
      <c r="N27" s="5"/>
      <c r="O27" s="13"/>
      <c r="P27" s="5"/>
      <c r="Q27" s="21"/>
    </row>
    <row r="28" spans="2:17" ht="14.25" thickBot="1" x14ac:dyDescent="0.2">
      <c r="B28" s="20"/>
      <c r="C28" s="14" t="s">
        <v>44</v>
      </c>
      <c r="D28" s="14"/>
      <c r="E28" s="11" t="s">
        <v>45</v>
      </c>
      <c r="F28" s="7">
        <f>O18</f>
        <v>11.737804392293757</v>
      </c>
      <c r="G28" s="5" t="s">
        <v>30</v>
      </c>
      <c r="H28" s="5" t="s">
        <v>46</v>
      </c>
      <c r="I28" s="15" t="e">
        <f>O25</f>
        <v>#DIV/0!</v>
      </c>
      <c r="J28" s="16" t="s">
        <v>47</v>
      </c>
      <c r="K28" s="5" t="s">
        <v>48</v>
      </c>
      <c r="L28" s="7">
        <f>O18</f>
        <v>11.737804392293757</v>
      </c>
      <c r="M28" s="5" t="s">
        <v>30</v>
      </c>
      <c r="N28" s="5" t="s">
        <v>49</v>
      </c>
      <c r="O28" s="57" t="e">
        <f>(F28-I28)/L28</f>
        <v>#DIV/0!</v>
      </c>
      <c r="P28" s="5" t="s">
        <v>36</v>
      </c>
      <c r="Q28" s="21"/>
    </row>
    <row r="29" spans="2:17" x14ac:dyDescent="0.15">
      <c r="B29" s="20"/>
      <c r="C29" s="38" t="s">
        <v>50</v>
      </c>
      <c r="D29" s="38"/>
      <c r="F29" s="5"/>
      <c r="G29" s="5"/>
      <c r="H29" s="5"/>
      <c r="I29" s="5"/>
      <c r="J29" s="5"/>
      <c r="K29" s="5"/>
      <c r="L29" s="5"/>
      <c r="M29" s="5"/>
      <c r="N29" s="5"/>
      <c r="O29" s="5"/>
      <c r="P29" s="5"/>
      <c r="Q29" s="21"/>
    </row>
    <row r="30" spans="2:17" ht="14.25" thickBot="1" x14ac:dyDescent="0.2">
      <c r="B30" s="20"/>
      <c r="C30" s="38"/>
      <c r="D30" s="38"/>
      <c r="F30" s="5"/>
      <c r="G30" s="5"/>
      <c r="H30" s="5"/>
      <c r="I30" s="5"/>
      <c r="J30" s="5"/>
      <c r="K30" s="5"/>
      <c r="L30" s="5"/>
      <c r="M30" s="5"/>
      <c r="N30" s="5"/>
      <c r="O30" s="5"/>
      <c r="P30" s="5"/>
      <c r="Q30" s="21"/>
    </row>
    <row r="31" spans="2:17" ht="14.25" thickBot="1" x14ac:dyDescent="0.2">
      <c r="B31" s="20"/>
      <c r="C31" s="38" t="s">
        <v>51</v>
      </c>
      <c r="D31" s="38"/>
      <c r="F31" s="5"/>
      <c r="G31" s="5"/>
      <c r="H31" s="5"/>
      <c r="I31" s="5"/>
      <c r="J31" s="5"/>
      <c r="K31" s="5"/>
      <c r="L31" s="5"/>
      <c r="M31" s="5"/>
      <c r="N31" s="5"/>
      <c r="O31" s="40" t="e">
        <f>IF(O28&gt;=0.2,"適格","不適")</f>
        <v>#DIV/0!</v>
      </c>
      <c r="P31" s="5"/>
      <c r="Q31" s="21"/>
    </row>
    <row r="32" spans="2:17" x14ac:dyDescent="0.15">
      <c r="B32" s="22"/>
      <c r="C32" s="29"/>
      <c r="D32" s="29"/>
      <c r="E32" s="4"/>
      <c r="F32" s="8"/>
      <c r="G32" s="8"/>
      <c r="H32" s="8"/>
      <c r="I32" s="8"/>
      <c r="J32" s="8"/>
      <c r="K32" s="8"/>
      <c r="L32" s="8"/>
      <c r="M32" s="8"/>
      <c r="N32" s="8"/>
      <c r="O32" s="8"/>
      <c r="P32" s="8"/>
      <c r="Q32" s="23"/>
    </row>
    <row r="33" spans="2:24" x14ac:dyDescent="0.15">
      <c r="F33" s="5"/>
      <c r="G33" s="5"/>
      <c r="H33" s="5"/>
      <c r="I33" s="5"/>
      <c r="J33" s="5"/>
      <c r="K33" s="5"/>
      <c r="L33" s="5"/>
      <c r="M33" s="5"/>
      <c r="N33" s="5"/>
      <c r="O33" s="5"/>
      <c r="P33" s="5"/>
      <c r="X33" s="16"/>
    </row>
    <row r="34" spans="2:24" ht="17.25" x14ac:dyDescent="0.15">
      <c r="B34" s="17"/>
      <c r="C34" s="28" t="s">
        <v>52</v>
      </c>
      <c r="D34" s="28"/>
      <c r="E34" s="18"/>
      <c r="F34" s="24"/>
      <c r="G34" s="24"/>
      <c r="H34" s="24"/>
      <c r="I34" s="24"/>
      <c r="J34" s="24"/>
      <c r="K34" s="24"/>
      <c r="L34" s="24"/>
      <c r="M34" s="24"/>
      <c r="N34" s="24"/>
      <c r="O34" s="24"/>
      <c r="P34" s="24"/>
      <c r="Q34" s="19"/>
    </row>
    <row r="35" spans="2:24" ht="14.25" thickBot="1" x14ac:dyDescent="0.2">
      <c r="B35" s="20"/>
      <c r="F35" s="5"/>
      <c r="G35" s="5"/>
      <c r="H35" s="5"/>
      <c r="I35" s="5"/>
      <c r="J35" s="5"/>
      <c r="K35" s="5"/>
      <c r="L35" s="5"/>
      <c r="M35" s="5"/>
      <c r="N35" s="5"/>
      <c r="O35" s="5"/>
      <c r="P35" s="5"/>
      <c r="Q35" s="21"/>
    </row>
    <row r="36" spans="2:24" ht="14.25" thickBot="1" x14ac:dyDescent="0.2">
      <c r="B36" s="20"/>
      <c r="C36" t="s">
        <v>53</v>
      </c>
      <c r="F36" s="5"/>
      <c r="G36" s="5"/>
      <c r="H36" s="5"/>
      <c r="K36" s="5"/>
      <c r="L36" s="5"/>
      <c r="M36" s="5"/>
      <c r="N36" s="5"/>
      <c r="O36" s="225">
        <f>機器費用/1000</f>
        <v>0</v>
      </c>
      <c r="P36" s="5" t="s">
        <v>15</v>
      </c>
      <c r="Q36" s="21"/>
    </row>
    <row r="37" spans="2:24" ht="14.25" thickBot="1" x14ac:dyDescent="0.2">
      <c r="B37" s="20"/>
      <c r="C37" t="s">
        <v>54</v>
      </c>
      <c r="F37" s="5"/>
      <c r="G37" s="5"/>
      <c r="H37" s="5"/>
      <c r="I37" s="5"/>
      <c r="J37" s="5"/>
      <c r="K37" s="5"/>
      <c r="L37" s="5"/>
      <c r="M37" s="5"/>
      <c r="N37" s="5"/>
      <c r="O37" s="225">
        <f>設定費用/1000</f>
        <v>0</v>
      </c>
      <c r="P37" s="5" t="s">
        <v>15</v>
      </c>
      <c r="Q37" s="21"/>
    </row>
    <row r="38" spans="2:24" x14ac:dyDescent="0.15">
      <c r="B38" s="20"/>
      <c r="C38" s="4" t="s">
        <v>55</v>
      </c>
      <c r="D38" s="4"/>
      <c r="E38" s="4"/>
      <c r="F38" s="8"/>
      <c r="G38" s="8"/>
      <c r="H38" s="8"/>
      <c r="I38" s="10">
        <f>'利用が想定される中小企業（小売業）'!$E$4</f>
        <v>1.6679999999999999</v>
      </c>
      <c r="J38" s="8" t="s">
        <v>56</v>
      </c>
      <c r="K38" s="8" t="s">
        <v>27</v>
      </c>
      <c r="L38" s="77">
        <f>IF(製品区分=凡例!D11,8,16)</f>
        <v>8</v>
      </c>
      <c r="M38" s="8" t="s">
        <v>57</v>
      </c>
      <c r="N38" s="8" t="s">
        <v>29</v>
      </c>
      <c r="O38" s="87">
        <f>L38*I38</f>
        <v>13.343999999999999</v>
      </c>
      <c r="P38" s="8" t="s">
        <v>58</v>
      </c>
      <c r="Q38" s="21"/>
    </row>
    <row r="39" spans="2:24" x14ac:dyDescent="0.15">
      <c r="B39" s="20"/>
      <c r="C39" t="s">
        <v>59</v>
      </c>
      <c r="F39" s="5"/>
      <c r="G39" s="5"/>
      <c r="H39" s="5"/>
      <c r="I39" s="5"/>
      <c r="J39" s="5"/>
      <c r="K39" s="5"/>
      <c r="L39" s="5"/>
      <c r="M39" s="5"/>
      <c r="N39" s="5"/>
      <c r="O39" s="25">
        <f>SUM(O36:O38)</f>
        <v>13.343999999999999</v>
      </c>
      <c r="P39" s="5" t="s">
        <v>58</v>
      </c>
      <c r="Q39" s="21"/>
    </row>
    <row r="40" spans="2:24" x14ac:dyDescent="0.15">
      <c r="B40" s="20"/>
      <c r="F40" s="5"/>
      <c r="G40" s="5"/>
      <c r="H40" s="5"/>
      <c r="I40" s="5"/>
      <c r="J40" s="5"/>
      <c r="K40" s="5"/>
      <c r="L40" s="5"/>
      <c r="M40" s="5"/>
      <c r="N40" s="5"/>
      <c r="O40" s="26"/>
      <c r="P40" s="5"/>
      <c r="Q40" s="21"/>
    </row>
    <row r="41" spans="2:24" x14ac:dyDescent="0.15">
      <c r="B41" s="20"/>
      <c r="C41" t="s">
        <v>60</v>
      </c>
      <c r="F41" s="6">
        <f>'利用が想定される中小企業（小売業）'!$E$4</f>
        <v>1.6679999999999999</v>
      </c>
      <c r="G41" s="5" t="s">
        <v>56</v>
      </c>
      <c r="H41" s="5" t="s">
        <v>27</v>
      </c>
      <c r="I41" s="15" t="e">
        <f>(O18-O25)/'利用が想定される中小企業（小売業）'!$E$12</f>
        <v>#DIV/0!</v>
      </c>
      <c r="J41" s="5" t="s">
        <v>61</v>
      </c>
      <c r="K41" s="5" t="s">
        <v>27</v>
      </c>
      <c r="L41" s="53">
        <f>'利用が想定される中小企業（小売業）'!$E$8</f>
        <v>300</v>
      </c>
      <c r="M41" s="5" t="s">
        <v>62</v>
      </c>
      <c r="N41" s="5" t="s">
        <v>29</v>
      </c>
      <c r="O41" s="25" t="e">
        <f>F41*I41*L41</f>
        <v>#DIV/0!</v>
      </c>
      <c r="P41" s="5" t="s">
        <v>63</v>
      </c>
      <c r="Q41" s="21"/>
    </row>
    <row r="42" spans="2:24" x14ac:dyDescent="0.15">
      <c r="B42" s="20"/>
      <c r="C42" s="4" t="s">
        <v>64</v>
      </c>
      <c r="D42" s="4"/>
      <c r="E42" s="4"/>
      <c r="F42" s="4"/>
      <c r="G42" s="8"/>
      <c r="H42" s="8"/>
      <c r="I42" s="10">
        <f>'利用が想定される中小企業（小売業）'!$E$5</f>
        <v>70</v>
      </c>
      <c r="J42" s="8" t="s">
        <v>65</v>
      </c>
      <c r="K42" s="8" t="s">
        <v>27</v>
      </c>
      <c r="L42" s="76" t="e">
        <f>(O18-O25)/8/'利用が想定される中小企業（小売業）'!$E$12</f>
        <v>#DIV/0!</v>
      </c>
      <c r="M42" s="8" t="s">
        <v>66</v>
      </c>
      <c r="N42" s="8" t="s">
        <v>29</v>
      </c>
      <c r="O42" s="86" t="e">
        <f>I42*L42</f>
        <v>#DIV/0!</v>
      </c>
      <c r="P42" s="8" t="s">
        <v>63</v>
      </c>
      <c r="Q42" s="21"/>
    </row>
    <row r="43" spans="2:24" x14ac:dyDescent="0.15">
      <c r="B43" s="20"/>
      <c r="C43" t="s">
        <v>67</v>
      </c>
      <c r="F43" s="5"/>
      <c r="G43" s="5"/>
      <c r="H43" s="5"/>
      <c r="I43" s="56"/>
      <c r="J43" s="5"/>
      <c r="K43" s="5"/>
      <c r="L43" s="5"/>
      <c r="M43" s="5"/>
      <c r="N43" s="5"/>
      <c r="O43" s="25" t="e">
        <f>SUM(O41:O42)</f>
        <v>#DIV/0!</v>
      </c>
      <c r="P43" s="5" t="s">
        <v>63</v>
      </c>
      <c r="Q43" s="21"/>
    </row>
    <row r="44" spans="2:24" ht="14.25" thickBot="1" x14ac:dyDescent="0.2">
      <c r="B44" s="20"/>
      <c r="F44" s="5"/>
      <c r="G44" s="5"/>
      <c r="H44" s="5"/>
      <c r="I44" s="5"/>
      <c r="J44" s="5"/>
      <c r="K44" s="5"/>
      <c r="L44" s="5"/>
      <c r="M44" s="5"/>
      <c r="N44" s="5"/>
      <c r="O44" s="26"/>
      <c r="P44" s="5"/>
      <c r="Q44" s="21"/>
    </row>
    <row r="45" spans="2:24" ht="14.25" thickBot="1" x14ac:dyDescent="0.2">
      <c r="B45" s="20"/>
      <c r="C45" s="14" t="s">
        <v>68</v>
      </c>
      <c r="D45" s="14"/>
      <c r="E45" s="5"/>
      <c r="F45" s="5"/>
      <c r="G45" s="5"/>
      <c r="H45" s="5"/>
      <c r="I45" s="27">
        <f>O39</f>
        <v>13.343999999999999</v>
      </c>
      <c r="J45" s="5" t="s">
        <v>15</v>
      </c>
      <c r="K45" s="5" t="s">
        <v>48</v>
      </c>
      <c r="L45" s="25" t="e">
        <f>O43</f>
        <v>#DIV/0!</v>
      </c>
      <c r="M45" s="5" t="s">
        <v>63</v>
      </c>
      <c r="N45" s="5" t="s">
        <v>29</v>
      </c>
      <c r="O45" s="32" t="e">
        <f>I45/L45</f>
        <v>#DIV/0!</v>
      </c>
      <c r="P45" s="5" t="s">
        <v>69</v>
      </c>
      <c r="Q45" s="21"/>
    </row>
    <row r="46" spans="2:24" x14ac:dyDescent="0.15">
      <c r="B46" s="20"/>
      <c r="C46" s="38" t="s">
        <v>70</v>
      </c>
      <c r="D46" s="14"/>
      <c r="F46" s="5"/>
      <c r="G46" s="5"/>
      <c r="H46" s="5"/>
      <c r="I46" s="39"/>
      <c r="J46" s="5"/>
      <c r="K46" s="5"/>
      <c r="L46" s="5"/>
      <c r="M46" s="5"/>
      <c r="N46" s="5"/>
      <c r="O46" s="13"/>
      <c r="P46" s="5"/>
      <c r="Q46" s="21"/>
    </row>
    <row r="47" spans="2:24" ht="14.25" thickBot="1" x14ac:dyDescent="0.2">
      <c r="B47" s="20"/>
      <c r="C47" s="38"/>
      <c r="D47" s="14"/>
      <c r="F47" s="5"/>
      <c r="G47" s="5"/>
      <c r="H47" s="5"/>
      <c r="I47" s="39"/>
      <c r="J47" s="5"/>
      <c r="K47" s="5"/>
      <c r="L47" s="5"/>
      <c r="M47" s="5"/>
      <c r="N47" s="5"/>
      <c r="O47" s="13"/>
      <c r="P47" s="5"/>
      <c r="Q47" s="21"/>
    </row>
    <row r="48" spans="2:24" ht="14.25" thickBot="1" x14ac:dyDescent="0.2">
      <c r="B48" s="20"/>
      <c r="C48" s="38" t="s">
        <v>51</v>
      </c>
      <c r="D48" s="14"/>
      <c r="F48" s="5"/>
      <c r="G48" s="5"/>
      <c r="H48" s="5"/>
      <c r="I48" s="39"/>
      <c r="J48" s="5"/>
      <c r="K48" s="5"/>
      <c r="L48" s="5"/>
      <c r="M48" s="5"/>
      <c r="N48" s="5"/>
      <c r="O48" s="32" t="e">
        <f>IF(O45&lt;4,"適格","不適")</f>
        <v>#DIV/0!</v>
      </c>
      <c r="P48" s="5"/>
      <c r="Q48" s="21"/>
    </row>
    <row r="49" spans="2:18" x14ac:dyDescent="0.15">
      <c r="B49" s="22"/>
      <c r="C49" s="29"/>
      <c r="D49" s="29"/>
      <c r="E49" s="4"/>
      <c r="F49" s="4"/>
      <c r="G49" s="4"/>
      <c r="H49" s="4"/>
      <c r="I49" s="4"/>
      <c r="J49" s="4"/>
      <c r="K49" s="4"/>
      <c r="L49" s="4"/>
      <c r="M49" s="4"/>
      <c r="N49" s="4"/>
      <c r="O49" s="4"/>
      <c r="P49" s="4"/>
      <c r="Q49" s="23"/>
    </row>
    <row r="50" spans="2:18" x14ac:dyDescent="0.15">
      <c r="R50" s="33" t="s">
        <v>17</v>
      </c>
    </row>
  </sheetData>
  <sheetProtection algorithmName="SHA-512" hashValue="8NO/HmrsgHdnWfkkrOL7ePCK4aFh0CeXx5jqYvAYIzz5Pdq8o69ReU6EPehA2BMS/9QJE19uxmF/Joj5PhXE0Q==" saltValue="J7gIpnnYLYHNMDpMEG45zQ==" spinCount="100000" sheet="1" objects="1" scenarios="1"/>
  <mergeCells count="5">
    <mergeCell ref="C2:P2"/>
    <mergeCell ref="N4:P4"/>
    <mergeCell ref="D6:M6"/>
    <mergeCell ref="D7:M7"/>
    <mergeCell ref="D11:H11"/>
  </mergeCells>
  <phoneticPr fontId="1"/>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407F-AC3D-4D50-9579-C694E82EBBEB}">
  <sheetPr codeName="Sheet2">
    <tabColor rgb="FFFFFF00"/>
    <pageSetUpPr fitToPage="1"/>
  </sheetPr>
  <dimension ref="A1:BF222"/>
  <sheetViews>
    <sheetView view="pageBreakPreview" zoomScale="130" zoomScaleNormal="85" zoomScaleSheetLayoutView="130" workbookViewId="0">
      <selection activeCell="J19" sqref="J19:AS20"/>
    </sheetView>
  </sheetViews>
  <sheetFormatPr defaultColWidth="8.875" defaultRowHeight="12" x14ac:dyDescent="0.15"/>
  <cols>
    <col min="1" max="46" width="2.125" style="123" customWidth="1"/>
    <col min="47" max="47" width="8.125" style="123" hidden="1" customWidth="1"/>
    <col min="48" max="48" width="28" style="123" customWidth="1"/>
    <col min="49" max="57" width="2.125" style="123" customWidth="1"/>
    <col min="58" max="61" width="3.5" style="123" customWidth="1"/>
    <col min="62" max="16384" width="8.875" style="123"/>
  </cols>
  <sheetData>
    <row r="1" spans="1:48" x14ac:dyDescent="0.15">
      <c r="A1" s="280" t="s">
        <v>224</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2"/>
    </row>
    <row r="2" spans="1:48" x14ac:dyDescent="0.15">
      <c r="A2" s="283"/>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5"/>
    </row>
    <row r="3" spans="1:48" x14ac:dyDescent="0.15">
      <c r="A3" s="286" t="str">
        <f>"【"&amp;製品カテゴリ&amp;"】"</f>
        <v>【AGV・AMR】</v>
      </c>
      <c r="B3" s="286"/>
      <c r="C3" s="286"/>
      <c r="D3" s="286"/>
      <c r="E3" s="286"/>
      <c r="F3" s="286"/>
      <c r="G3" s="286"/>
      <c r="H3" s="286"/>
      <c r="I3" s="286"/>
      <c r="J3" s="286"/>
      <c r="K3" s="286"/>
      <c r="L3" s="286"/>
      <c r="M3" s="286"/>
      <c r="N3" s="286"/>
      <c r="O3" s="286"/>
      <c r="P3" s="286"/>
      <c r="Q3" s="286"/>
      <c r="R3" s="286"/>
      <c r="S3" s="286"/>
      <c r="T3" s="286"/>
      <c r="U3" s="286"/>
      <c r="V3" s="286"/>
      <c r="W3" s="286"/>
      <c r="X3" s="288" t="str">
        <f>IF(AV3=AU3,"","未入力または適切ではない項目があります")</f>
        <v>未入力または適切ではない項目があります</v>
      </c>
      <c r="Y3" s="288"/>
      <c r="Z3" s="288"/>
      <c r="AA3" s="288"/>
      <c r="AB3" s="288"/>
      <c r="AC3" s="288"/>
      <c r="AD3" s="288"/>
      <c r="AE3" s="288"/>
      <c r="AF3" s="288"/>
      <c r="AG3" s="288"/>
      <c r="AH3" s="288"/>
      <c r="AI3" s="288"/>
      <c r="AJ3" s="288"/>
      <c r="AK3" s="288"/>
      <c r="AL3" s="288"/>
      <c r="AM3" s="288"/>
      <c r="AN3" s="288"/>
      <c r="AO3" s="288"/>
      <c r="AP3" s="290" t="s">
        <v>225</v>
      </c>
      <c r="AQ3" s="290"/>
      <c r="AR3" s="290"/>
      <c r="AS3" s="290"/>
      <c r="AT3" s="290"/>
      <c r="AU3" s="123">
        <v>22</v>
      </c>
      <c r="AV3" s="124">
        <f>COUNTIF(AV8:AV128,"OK")</f>
        <v>0</v>
      </c>
    </row>
    <row r="4" spans="1:48" x14ac:dyDescent="0.15">
      <c r="A4" s="287"/>
      <c r="B4" s="287"/>
      <c r="C4" s="287"/>
      <c r="D4" s="287"/>
      <c r="E4" s="287"/>
      <c r="F4" s="287"/>
      <c r="G4" s="287"/>
      <c r="H4" s="287"/>
      <c r="I4" s="287"/>
      <c r="J4" s="287"/>
      <c r="K4" s="287"/>
      <c r="L4" s="287"/>
      <c r="M4" s="287"/>
      <c r="N4" s="287"/>
      <c r="O4" s="287"/>
      <c r="P4" s="287"/>
      <c r="Q4" s="287"/>
      <c r="R4" s="287"/>
      <c r="S4" s="287"/>
      <c r="T4" s="287"/>
      <c r="U4" s="287"/>
      <c r="V4" s="287"/>
      <c r="W4" s="287"/>
      <c r="X4" s="289"/>
      <c r="Y4" s="289"/>
      <c r="Z4" s="289"/>
      <c r="AA4" s="289"/>
      <c r="AB4" s="289"/>
      <c r="AC4" s="289"/>
      <c r="AD4" s="289"/>
      <c r="AE4" s="289"/>
      <c r="AF4" s="289"/>
      <c r="AG4" s="289"/>
      <c r="AH4" s="289"/>
      <c r="AI4" s="289"/>
      <c r="AJ4" s="289"/>
      <c r="AK4" s="289"/>
      <c r="AL4" s="289"/>
      <c r="AM4" s="289"/>
      <c r="AN4" s="289"/>
      <c r="AO4" s="289"/>
      <c r="AP4" s="291"/>
      <c r="AQ4" s="291"/>
      <c r="AR4" s="291"/>
      <c r="AS4" s="291"/>
      <c r="AT4" s="291"/>
    </row>
    <row r="5" spans="1:48" x14ac:dyDescent="0.15">
      <c r="A5" s="177"/>
      <c r="B5" s="292" t="s">
        <v>226</v>
      </c>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178"/>
    </row>
    <row r="6" spans="1:48" x14ac:dyDescent="0.15">
      <c r="A6" s="125"/>
      <c r="B6" s="293" t="s">
        <v>227</v>
      </c>
      <c r="C6" s="293"/>
      <c r="D6" s="293"/>
      <c r="E6" s="293"/>
      <c r="F6" s="293"/>
      <c r="G6" s="293"/>
      <c r="H6" s="293"/>
      <c r="I6" s="293"/>
      <c r="J6" s="293"/>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row>
    <row r="7" spans="1:48" x14ac:dyDescent="0.15">
      <c r="A7" s="125"/>
      <c r="B7" s="294"/>
      <c r="C7" s="294"/>
      <c r="D7" s="294"/>
      <c r="E7" s="294"/>
      <c r="F7" s="294"/>
      <c r="G7" s="294"/>
      <c r="H7" s="294"/>
      <c r="I7" s="294"/>
      <c r="J7" s="293"/>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row>
    <row r="8" spans="1:48" x14ac:dyDescent="0.15">
      <c r="A8" s="125"/>
      <c r="B8" s="295" t="s">
        <v>228</v>
      </c>
      <c r="C8" s="296"/>
      <c r="D8" s="296"/>
      <c r="E8" s="296"/>
      <c r="F8" s="296"/>
      <c r="G8" s="296"/>
      <c r="H8" s="296"/>
      <c r="I8" s="296"/>
      <c r="J8" s="299">
        <f>製造事業者名</f>
        <v>0</v>
      </c>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1"/>
      <c r="AT8" s="125"/>
      <c r="AV8" s="126"/>
    </row>
    <row r="9" spans="1:48" ht="12.75" thickBot="1" x14ac:dyDescent="0.2">
      <c r="A9" s="125"/>
      <c r="B9" s="297"/>
      <c r="C9" s="298"/>
      <c r="D9" s="298"/>
      <c r="E9" s="298"/>
      <c r="F9" s="298"/>
      <c r="G9" s="298"/>
      <c r="H9" s="298"/>
      <c r="I9" s="298"/>
      <c r="J9" s="302"/>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4"/>
      <c r="AT9" s="125"/>
    </row>
    <row r="10" spans="1:48" x14ac:dyDescent="0.15">
      <c r="A10" s="125"/>
      <c r="B10" s="295" t="s">
        <v>229</v>
      </c>
      <c r="C10" s="296"/>
      <c r="D10" s="296"/>
      <c r="E10" s="296"/>
      <c r="F10" s="296"/>
      <c r="G10" s="296"/>
      <c r="H10" s="296"/>
      <c r="I10" s="296"/>
      <c r="J10" s="307"/>
      <c r="K10" s="308"/>
      <c r="L10" s="308"/>
      <c r="M10" s="308"/>
      <c r="N10" s="308"/>
      <c r="O10" s="308"/>
      <c r="P10" s="308"/>
      <c r="Q10" s="308"/>
      <c r="R10" s="308"/>
      <c r="S10" s="308"/>
      <c r="T10" s="308"/>
      <c r="U10" s="308"/>
      <c r="V10" s="308"/>
      <c r="W10" s="309"/>
      <c r="X10" s="316" t="s">
        <v>230</v>
      </c>
      <c r="Y10" s="317"/>
      <c r="Z10" s="317"/>
      <c r="AA10" s="317"/>
      <c r="AB10" s="317"/>
      <c r="AC10" s="317"/>
      <c r="AD10" s="317"/>
      <c r="AE10" s="318"/>
      <c r="AF10" s="323"/>
      <c r="AG10" s="324"/>
      <c r="AH10" s="324"/>
      <c r="AI10" s="324"/>
      <c r="AJ10" s="324"/>
      <c r="AK10" s="324"/>
      <c r="AL10" s="325"/>
      <c r="AM10" s="326"/>
      <c r="AN10" s="324"/>
      <c r="AO10" s="324"/>
      <c r="AP10" s="324"/>
      <c r="AQ10" s="324"/>
      <c r="AR10" s="324"/>
      <c r="AS10" s="327"/>
      <c r="AT10" s="125"/>
      <c r="AU10" s="127"/>
      <c r="AV10" s="126" t="str">
        <f>IF(J10&lt;&gt;"","OK","必須：担当者所属")</f>
        <v>必須：担当者所属</v>
      </c>
    </row>
    <row r="11" spans="1:48" ht="13.5" customHeight="1" x14ac:dyDescent="0.15">
      <c r="A11" s="125"/>
      <c r="B11" s="305"/>
      <c r="C11" s="306"/>
      <c r="D11" s="306"/>
      <c r="E11" s="306"/>
      <c r="F11" s="306"/>
      <c r="G11" s="306"/>
      <c r="H11" s="306"/>
      <c r="I11" s="306"/>
      <c r="J11" s="310"/>
      <c r="K11" s="311"/>
      <c r="L11" s="311"/>
      <c r="M11" s="311"/>
      <c r="N11" s="311"/>
      <c r="O11" s="311"/>
      <c r="P11" s="311"/>
      <c r="Q11" s="311"/>
      <c r="R11" s="311"/>
      <c r="S11" s="311"/>
      <c r="T11" s="311"/>
      <c r="U11" s="311"/>
      <c r="V11" s="311"/>
      <c r="W11" s="312"/>
      <c r="X11" s="319"/>
      <c r="Y11" s="306"/>
      <c r="Z11" s="306"/>
      <c r="AA11" s="306"/>
      <c r="AB11" s="306"/>
      <c r="AC11" s="306"/>
      <c r="AD11" s="306"/>
      <c r="AE11" s="320"/>
      <c r="AF11" s="328"/>
      <c r="AG11" s="329"/>
      <c r="AH11" s="329"/>
      <c r="AI11" s="329"/>
      <c r="AJ11" s="329"/>
      <c r="AK11" s="329"/>
      <c r="AL11" s="330"/>
      <c r="AM11" s="332"/>
      <c r="AN11" s="329"/>
      <c r="AO11" s="329"/>
      <c r="AP11" s="329"/>
      <c r="AQ11" s="329"/>
      <c r="AR11" s="329"/>
      <c r="AS11" s="333"/>
      <c r="AT11" s="125"/>
      <c r="AU11" s="127"/>
      <c r="AV11" s="126" t="str">
        <f>IF(AF10&lt;&gt;"",IF(AM10&lt;&gt;"","OK","必須：担当者名かな"),"必須：担当者氏かな")</f>
        <v>必須：担当者氏かな</v>
      </c>
    </row>
    <row r="12" spans="1:48" ht="14.25" customHeight="1" thickBot="1" x14ac:dyDescent="0.2">
      <c r="A12" s="125"/>
      <c r="B12" s="297"/>
      <c r="C12" s="298"/>
      <c r="D12" s="298"/>
      <c r="E12" s="298"/>
      <c r="F12" s="298"/>
      <c r="G12" s="298"/>
      <c r="H12" s="298"/>
      <c r="I12" s="298"/>
      <c r="J12" s="313"/>
      <c r="K12" s="314"/>
      <c r="L12" s="314"/>
      <c r="M12" s="314"/>
      <c r="N12" s="314"/>
      <c r="O12" s="314"/>
      <c r="P12" s="314"/>
      <c r="Q12" s="314"/>
      <c r="R12" s="314"/>
      <c r="S12" s="314"/>
      <c r="T12" s="314"/>
      <c r="U12" s="314"/>
      <c r="V12" s="314"/>
      <c r="W12" s="315"/>
      <c r="X12" s="321"/>
      <c r="Y12" s="298"/>
      <c r="Z12" s="298"/>
      <c r="AA12" s="298"/>
      <c r="AB12" s="298"/>
      <c r="AC12" s="298"/>
      <c r="AD12" s="298"/>
      <c r="AE12" s="322"/>
      <c r="AF12" s="313"/>
      <c r="AG12" s="314"/>
      <c r="AH12" s="314"/>
      <c r="AI12" s="314"/>
      <c r="AJ12" s="314"/>
      <c r="AK12" s="314"/>
      <c r="AL12" s="331"/>
      <c r="AM12" s="334"/>
      <c r="AN12" s="314"/>
      <c r="AO12" s="314"/>
      <c r="AP12" s="314"/>
      <c r="AQ12" s="314"/>
      <c r="AR12" s="314"/>
      <c r="AS12" s="315"/>
      <c r="AT12" s="125"/>
      <c r="AV12" s="128" t="str">
        <f>IF(AF11&lt;&gt;"",IF(AM11&lt;&gt;"","OK","必須：担当者名"),"必須：担当者氏")</f>
        <v>必須：担当者氏</v>
      </c>
    </row>
    <row r="13" spans="1:48" ht="13.5" customHeight="1" x14ac:dyDescent="0.15">
      <c r="A13" s="125"/>
      <c r="B13" s="295" t="s">
        <v>231</v>
      </c>
      <c r="C13" s="296"/>
      <c r="D13" s="296"/>
      <c r="E13" s="296"/>
      <c r="F13" s="296"/>
      <c r="G13" s="296"/>
      <c r="H13" s="296"/>
      <c r="I13" s="296"/>
      <c r="J13" s="355"/>
      <c r="K13" s="356"/>
      <c r="L13" s="356"/>
      <c r="M13" s="356"/>
      <c r="N13" s="359" t="s">
        <v>46</v>
      </c>
      <c r="O13" s="356"/>
      <c r="P13" s="356"/>
      <c r="Q13" s="356"/>
      <c r="R13" s="356"/>
      <c r="S13" s="359" t="s">
        <v>46</v>
      </c>
      <c r="T13" s="356"/>
      <c r="U13" s="356"/>
      <c r="V13" s="356"/>
      <c r="W13" s="361"/>
      <c r="X13" s="354" t="s">
        <v>232</v>
      </c>
      <c r="Y13" s="296"/>
      <c r="Z13" s="296"/>
      <c r="AA13" s="296"/>
      <c r="AB13" s="296"/>
      <c r="AC13" s="296"/>
      <c r="AD13" s="296"/>
      <c r="AE13" s="296"/>
      <c r="AF13" s="307"/>
      <c r="AG13" s="308"/>
      <c r="AH13" s="308"/>
      <c r="AI13" s="308"/>
      <c r="AJ13" s="308"/>
      <c r="AK13" s="308"/>
      <c r="AL13" s="308"/>
      <c r="AM13" s="308"/>
      <c r="AN13" s="308"/>
      <c r="AO13" s="308"/>
      <c r="AP13" s="308"/>
      <c r="AQ13" s="308"/>
      <c r="AR13" s="308"/>
      <c r="AS13" s="309"/>
      <c r="AT13" s="125"/>
      <c r="AV13" s="126" t="str">
        <f>IF(J13&amp;O13&amp;T13&lt;&gt;"","OK","必須：担当者連絡先")</f>
        <v>必須：担当者連絡先</v>
      </c>
    </row>
    <row r="14" spans="1:48" ht="14.25" customHeight="1" thickBot="1" x14ac:dyDescent="0.2">
      <c r="A14" s="125"/>
      <c r="B14" s="297"/>
      <c r="C14" s="298"/>
      <c r="D14" s="298"/>
      <c r="E14" s="298"/>
      <c r="F14" s="298"/>
      <c r="G14" s="298"/>
      <c r="H14" s="298"/>
      <c r="I14" s="298"/>
      <c r="J14" s="357"/>
      <c r="K14" s="358"/>
      <c r="L14" s="358"/>
      <c r="M14" s="358"/>
      <c r="N14" s="360"/>
      <c r="O14" s="358"/>
      <c r="P14" s="358"/>
      <c r="Q14" s="358"/>
      <c r="R14" s="358"/>
      <c r="S14" s="360"/>
      <c r="T14" s="358"/>
      <c r="U14" s="358"/>
      <c r="V14" s="358"/>
      <c r="W14" s="362"/>
      <c r="X14" s="298"/>
      <c r="Y14" s="298"/>
      <c r="Z14" s="298"/>
      <c r="AA14" s="298"/>
      <c r="AB14" s="298"/>
      <c r="AC14" s="298"/>
      <c r="AD14" s="298"/>
      <c r="AE14" s="298"/>
      <c r="AF14" s="313"/>
      <c r="AG14" s="314"/>
      <c r="AH14" s="314"/>
      <c r="AI14" s="314"/>
      <c r="AJ14" s="314"/>
      <c r="AK14" s="314"/>
      <c r="AL14" s="314"/>
      <c r="AM14" s="314"/>
      <c r="AN14" s="314"/>
      <c r="AO14" s="314"/>
      <c r="AP14" s="314"/>
      <c r="AQ14" s="314"/>
      <c r="AR14" s="314"/>
      <c r="AS14" s="315"/>
      <c r="AT14" s="125"/>
      <c r="AV14" s="126" t="str">
        <f>IF(AF13&lt;&gt;"","OK","必須：担当者メールアドレス")</f>
        <v>必須：担当者メールアドレス</v>
      </c>
    </row>
    <row r="15" spans="1:48" x14ac:dyDescent="0.15">
      <c r="A15" s="125"/>
      <c r="B15" s="293" t="s">
        <v>233</v>
      </c>
      <c r="C15" s="293"/>
      <c r="D15" s="293"/>
      <c r="E15" s="293"/>
      <c r="F15" s="293"/>
      <c r="G15" s="293"/>
      <c r="H15" s="293"/>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row>
    <row r="16" spans="1:48" ht="12.75" thickBot="1" x14ac:dyDescent="0.2">
      <c r="A16" s="125"/>
      <c r="B16" s="293"/>
      <c r="C16" s="293"/>
      <c r="D16" s="293"/>
      <c r="E16" s="293"/>
      <c r="F16" s="293"/>
      <c r="G16" s="293"/>
      <c r="H16" s="293"/>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row>
    <row r="17" spans="1:48" ht="12.75" thickBot="1" x14ac:dyDescent="0.2">
      <c r="A17" s="125"/>
      <c r="B17" s="295" t="s">
        <v>234</v>
      </c>
      <c r="C17" s="296"/>
      <c r="D17" s="296"/>
      <c r="E17" s="296"/>
      <c r="F17" s="296"/>
      <c r="G17" s="296"/>
      <c r="H17" s="296"/>
      <c r="I17" s="296"/>
      <c r="J17" s="342"/>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4"/>
      <c r="AT17" s="125"/>
      <c r="AV17" s="126" t="str">
        <f>IF(J17&lt;&gt;"","OK","必須")</f>
        <v>必須</v>
      </c>
    </row>
    <row r="18" spans="1:48" ht="12.75" thickBot="1" x14ac:dyDescent="0.2">
      <c r="A18" s="125"/>
      <c r="B18" s="297"/>
      <c r="C18" s="298"/>
      <c r="D18" s="298"/>
      <c r="E18" s="298"/>
      <c r="F18" s="298"/>
      <c r="G18" s="298"/>
      <c r="H18" s="298"/>
      <c r="I18" s="298"/>
      <c r="J18" s="342"/>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4"/>
      <c r="AT18" s="125"/>
    </row>
    <row r="19" spans="1:48" ht="12.75" thickBot="1" x14ac:dyDescent="0.2">
      <c r="A19" s="125"/>
      <c r="B19" s="295" t="s">
        <v>235</v>
      </c>
      <c r="C19" s="296"/>
      <c r="D19" s="296"/>
      <c r="E19" s="296"/>
      <c r="F19" s="296"/>
      <c r="G19" s="296"/>
      <c r="H19" s="296"/>
      <c r="I19" s="296"/>
      <c r="J19" s="561">
        <f>型番</f>
        <v>0</v>
      </c>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2"/>
      <c r="AL19" s="562"/>
      <c r="AM19" s="562"/>
      <c r="AN19" s="562"/>
      <c r="AO19" s="562"/>
      <c r="AP19" s="562"/>
      <c r="AQ19" s="562"/>
      <c r="AR19" s="562"/>
      <c r="AS19" s="563"/>
      <c r="AT19" s="125"/>
      <c r="AV19" s="126"/>
    </row>
    <row r="20" spans="1:48" ht="12.75" thickBot="1" x14ac:dyDescent="0.2">
      <c r="A20" s="125"/>
      <c r="B20" s="297"/>
      <c r="C20" s="298"/>
      <c r="D20" s="298"/>
      <c r="E20" s="298"/>
      <c r="F20" s="298"/>
      <c r="G20" s="341"/>
      <c r="H20" s="341"/>
      <c r="I20" s="341"/>
      <c r="J20" s="561"/>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562"/>
      <c r="AP20" s="562"/>
      <c r="AQ20" s="562"/>
      <c r="AR20" s="562"/>
      <c r="AS20" s="563"/>
      <c r="AT20" s="125"/>
    </row>
    <row r="21" spans="1:48" ht="12.75" thickBot="1" x14ac:dyDescent="0.2">
      <c r="A21" s="125"/>
      <c r="B21" s="295" t="s">
        <v>236</v>
      </c>
      <c r="C21" s="296"/>
      <c r="D21" s="296"/>
      <c r="E21" s="296"/>
      <c r="F21" s="296"/>
      <c r="G21" s="335"/>
      <c r="H21" s="335"/>
      <c r="I21" s="335"/>
      <c r="J21" s="337"/>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9"/>
      <c r="AT21" s="125"/>
      <c r="AV21" s="126" t="str">
        <f>IF(J21&lt;&gt;"","OK","必須")</f>
        <v>必須</v>
      </c>
    </row>
    <row r="22" spans="1:48" ht="12.75" thickBot="1" x14ac:dyDescent="0.2">
      <c r="A22" s="125"/>
      <c r="B22" s="305"/>
      <c r="C22" s="306"/>
      <c r="D22" s="306"/>
      <c r="E22" s="306"/>
      <c r="F22" s="306"/>
      <c r="G22" s="336"/>
      <c r="H22" s="336"/>
      <c r="I22" s="336"/>
      <c r="J22" s="340"/>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9"/>
      <c r="AT22" s="125"/>
    </row>
    <row r="23" spans="1:48" ht="12.75" thickBot="1" x14ac:dyDescent="0.2">
      <c r="A23" s="125"/>
      <c r="B23" s="305"/>
      <c r="C23" s="306"/>
      <c r="D23" s="306"/>
      <c r="E23" s="306"/>
      <c r="F23" s="306"/>
      <c r="G23" s="336"/>
      <c r="H23" s="336"/>
      <c r="I23" s="336"/>
      <c r="J23" s="340"/>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9"/>
      <c r="AT23" s="125"/>
    </row>
    <row r="24" spans="1:48" ht="12.75" thickBot="1" x14ac:dyDescent="0.2">
      <c r="A24" s="125"/>
      <c r="B24" s="305"/>
      <c r="C24" s="306"/>
      <c r="D24" s="306"/>
      <c r="E24" s="306"/>
      <c r="F24" s="306"/>
      <c r="G24" s="336"/>
      <c r="H24" s="336"/>
      <c r="I24" s="336"/>
      <c r="J24" s="340"/>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9"/>
      <c r="AT24" s="125"/>
    </row>
    <row r="25" spans="1:48" ht="12.75" thickBot="1" x14ac:dyDescent="0.2">
      <c r="A25" s="125"/>
      <c r="B25" s="305"/>
      <c r="C25" s="306"/>
      <c r="D25" s="306"/>
      <c r="E25" s="306"/>
      <c r="F25" s="306"/>
      <c r="G25" s="336"/>
      <c r="H25" s="336"/>
      <c r="I25" s="336"/>
      <c r="J25" s="340"/>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9"/>
      <c r="AT25" s="125"/>
    </row>
    <row r="26" spans="1:48" ht="12.75" thickBot="1" x14ac:dyDescent="0.2">
      <c r="A26" s="125"/>
      <c r="B26" s="297"/>
      <c r="C26" s="298"/>
      <c r="D26" s="298"/>
      <c r="E26" s="298"/>
      <c r="F26" s="298"/>
      <c r="G26" s="298"/>
      <c r="H26" s="298"/>
      <c r="I26" s="298"/>
      <c r="J26" s="340"/>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9"/>
      <c r="AT26" s="125"/>
    </row>
    <row r="27" spans="1:48" ht="12.75" thickBot="1" x14ac:dyDescent="0.2">
      <c r="A27" s="125"/>
      <c r="B27" s="295" t="s">
        <v>237</v>
      </c>
      <c r="C27" s="296"/>
      <c r="D27" s="296"/>
      <c r="E27" s="296"/>
      <c r="F27" s="296"/>
      <c r="G27" s="296"/>
      <c r="H27" s="296"/>
      <c r="I27" s="296"/>
      <c r="J27" s="342"/>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4"/>
      <c r="AT27" s="125"/>
      <c r="AV27" s="126" t="str">
        <f>IF(J27&lt;&gt;"","OK","必須")</f>
        <v>必須</v>
      </c>
    </row>
    <row r="28" spans="1:48" ht="12.75" thickBot="1" x14ac:dyDescent="0.2">
      <c r="A28" s="125"/>
      <c r="B28" s="297"/>
      <c r="C28" s="298"/>
      <c r="D28" s="298"/>
      <c r="E28" s="298"/>
      <c r="F28" s="298"/>
      <c r="G28" s="341"/>
      <c r="H28" s="341"/>
      <c r="I28" s="341"/>
      <c r="J28" s="345"/>
      <c r="K28" s="346"/>
      <c r="L28" s="346"/>
      <c r="M28" s="346"/>
      <c r="N28" s="346"/>
      <c r="O28" s="346"/>
      <c r="P28" s="346"/>
      <c r="Q28" s="346"/>
      <c r="R28" s="346"/>
      <c r="S28" s="346"/>
      <c r="T28" s="346"/>
      <c r="U28" s="346"/>
      <c r="V28" s="346"/>
      <c r="W28" s="346"/>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4"/>
      <c r="AT28" s="125"/>
    </row>
    <row r="29" spans="1:48" x14ac:dyDescent="0.15">
      <c r="A29" s="125"/>
      <c r="B29" s="293" t="s">
        <v>238</v>
      </c>
      <c r="C29" s="293"/>
      <c r="D29" s="293"/>
      <c r="E29" s="293"/>
      <c r="F29" s="293"/>
      <c r="G29" s="293"/>
      <c r="H29" s="293"/>
      <c r="I29" s="293"/>
      <c r="J29" s="293"/>
      <c r="K29" s="293"/>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row>
    <row r="30" spans="1:48" x14ac:dyDescent="0.15">
      <c r="A30" s="125"/>
      <c r="B30" s="294"/>
      <c r="C30" s="294"/>
      <c r="D30" s="294"/>
      <c r="E30" s="294"/>
      <c r="F30" s="294"/>
      <c r="G30" s="294"/>
      <c r="H30" s="294"/>
      <c r="I30" s="294"/>
      <c r="J30" s="294"/>
      <c r="K30" s="294"/>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row>
    <row r="31" spans="1:48" x14ac:dyDescent="0.15">
      <c r="A31" s="125"/>
      <c r="B31" s="295" t="s">
        <v>239</v>
      </c>
      <c r="C31" s="296"/>
      <c r="D31" s="296"/>
      <c r="E31" s="296"/>
      <c r="F31" s="296"/>
      <c r="G31" s="296"/>
      <c r="H31" s="296"/>
      <c r="I31" s="347"/>
      <c r="J31" s="349" t="str">
        <f>製品カテゴリ</f>
        <v>AGV・AMR</v>
      </c>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1"/>
      <c r="AT31" s="125"/>
    </row>
    <row r="32" spans="1:48" x14ac:dyDescent="0.15">
      <c r="A32" s="125"/>
      <c r="B32" s="297"/>
      <c r="C32" s="298"/>
      <c r="D32" s="298"/>
      <c r="E32" s="298"/>
      <c r="F32" s="298"/>
      <c r="G32" s="298"/>
      <c r="H32" s="298"/>
      <c r="I32" s="348"/>
      <c r="J32" s="352"/>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353"/>
      <c r="AT32" s="125"/>
    </row>
    <row r="33" spans="1:48" ht="19.5" customHeight="1" x14ac:dyDescent="0.15">
      <c r="A33" s="125"/>
      <c r="B33" s="295" t="s">
        <v>240</v>
      </c>
      <c r="C33" s="296"/>
      <c r="D33" s="296"/>
      <c r="E33" s="296"/>
      <c r="F33" s="296"/>
      <c r="G33" s="296"/>
      <c r="H33" s="296"/>
      <c r="I33" s="347"/>
      <c r="J33" s="363" t="str">
        <f>'①製品審査申請書（工業会用）'!L15</f>
        <v xml:space="preserve">                                    </v>
      </c>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5"/>
      <c r="AT33" s="125"/>
    </row>
    <row r="34" spans="1:48" ht="19.5" customHeight="1" x14ac:dyDescent="0.15">
      <c r="A34" s="125"/>
      <c r="B34" s="297"/>
      <c r="C34" s="298"/>
      <c r="D34" s="298"/>
      <c r="E34" s="298"/>
      <c r="F34" s="298"/>
      <c r="G34" s="298"/>
      <c r="H34" s="298"/>
      <c r="I34" s="348"/>
      <c r="J34" s="366"/>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8"/>
      <c r="AT34" s="125"/>
    </row>
    <row r="35" spans="1:48" ht="2.25" customHeight="1" x14ac:dyDescent="0.15">
      <c r="A35" s="125"/>
      <c r="B35" s="184"/>
      <c r="C35" s="186"/>
      <c r="D35" s="186"/>
      <c r="E35" s="186"/>
      <c r="F35" s="186"/>
      <c r="G35" s="186"/>
      <c r="H35" s="186"/>
      <c r="I35" s="186"/>
      <c r="J35" s="179"/>
      <c r="K35" s="179"/>
      <c r="L35" s="179"/>
      <c r="M35" s="179"/>
      <c r="N35" s="179"/>
      <c r="O35" s="179"/>
      <c r="P35" s="179"/>
      <c r="Q35" s="179"/>
      <c r="R35" s="179"/>
      <c r="S35" s="179"/>
      <c r="T35" s="179"/>
      <c r="U35" s="179"/>
      <c r="V35" s="179"/>
      <c r="W35" s="179"/>
      <c r="X35" s="186"/>
      <c r="Y35" s="186"/>
      <c r="Z35" s="186"/>
      <c r="AA35" s="186"/>
      <c r="AB35" s="186"/>
      <c r="AC35" s="186"/>
      <c r="AD35" s="186"/>
      <c r="AE35" s="186"/>
      <c r="AF35" s="179"/>
      <c r="AG35" s="179"/>
      <c r="AH35" s="179"/>
      <c r="AI35" s="179"/>
      <c r="AJ35" s="179"/>
      <c r="AK35" s="179"/>
      <c r="AL35" s="179"/>
      <c r="AM35" s="179"/>
      <c r="AN35" s="179"/>
      <c r="AO35" s="179"/>
      <c r="AP35" s="179"/>
      <c r="AQ35" s="179"/>
      <c r="AR35" s="179"/>
      <c r="AS35" s="179"/>
      <c r="AT35" s="125"/>
    </row>
    <row r="36" spans="1:48" x14ac:dyDescent="0.15">
      <c r="A36" s="125"/>
      <c r="B36" s="293" t="s">
        <v>241</v>
      </c>
      <c r="C36" s="293"/>
      <c r="D36" s="293"/>
      <c r="E36" s="293"/>
      <c r="F36" s="293"/>
      <c r="G36" s="293"/>
      <c r="H36" s="293"/>
      <c r="I36" s="293"/>
      <c r="J36" s="293"/>
      <c r="K36" s="293"/>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row>
    <row r="37" spans="1:48" ht="9" customHeight="1" x14ac:dyDescent="0.15">
      <c r="A37" s="125"/>
      <c r="B37" s="293"/>
      <c r="C37" s="293"/>
      <c r="D37" s="293"/>
      <c r="E37" s="293"/>
      <c r="F37" s="293"/>
      <c r="G37" s="293"/>
      <c r="H37" s="293"/>
      <c r="I37" s="293"/>
      <c r="J37" s="293"/>
      <c r="K37" s="293"/>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row>
    <row r="38" spans="1:48" ht="5.25" customHeight="1" x14ac:dyDescent="0.15">
      <c r="A38" s="125"/>
      <c r="B38" s="369" t="s">
        <v>362</v>
      </c>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188"/>
      <c r="AQ38" s="188"/>
      <c r="AR38" s="188"/>
      <c r="AS38" s="188"/>
      <c r="AT38" s="125"/>
    </row>
    <row r="39" spans="1:48" x14ac:dyDescent="0.15">
      <c r="A39" s="125"/>
      <c r="B39" s="369"/>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188"/>
      <c r="AQ39" s="188"/>
      <c r="AR39" s="188"/>
      <c r="AS39" s="188"/>
      <c r="AT39" s="125"/>
    </row>
    <row r="40" spans="1:48" x14ac:dyDescent="0.15">
      <c r="A40" s="125"/>
      <c r="B40" s="370" t="s">
        <v>363</v>
      </c>
      <c r="C40" s="370"/>
      <c r="D40" s="371" t="s">
        <v>364</v>
      </c>
      <c r="E40" s="371"/>
      <c r="F40" s="371"/>
      <c r="G40" s="371"/>
      <c r="H40" s="371"/>
      <c r="I40" s="371"/>
      <c r="J40" s="371"/>
      <c r="K40" s="371"/>
      <c r="L40" s="372">
        <f>機器費用</f>
        <v>0</v>
      </c>
      <c r="M40" s="373"/>
      <c r="N40" s="373"/>
      <c r="O40" s="373"/>
      <c r="P40" s="373"/>
      <c r="Q40" s="373"/>
      <c r="R40" s="373"/>
      <c r="S40" s="373"/>
      <c r="T40" s="373"/>
      <c r="U40" s="373"/>
      <c r="V40" s="376" t="s">
        <v>365</v>
      </c>
      <c r="W40" s="377"/>
      <c r="X40" s="377"/>
      <c r="Y40" s="378"/>
      <c r="Z40" s="385" t="s">
        <v>366</v>
      </c>
      <c r="AA40" s="386"/>
      <c r="AB40" s="386"/>
      <c r="AC40" s="386"/>
      <c r="AD40" s="386"/>
      <c r="AE40" s="386"/>
      <c r="AF40" s="386"/>
      <c r="AG40" s="386"/>
      <c r="AH40" s="386"/>
      <c r="AI40" s="386"/>
      <c r="AJ40" s="386"/>
      <c r="AK40" s="386"/>
      <c r="AL40" s="386"/>
      <c r="AM40" s="386"/>
      <c r="AN40" s="386"/>
      <c r="AO40" s="386"/>
      <c r="AP40" s="386"/>
      <c r="AQ40" s="386"/>
      <c r="AR40" s="386"/>
      <c r="AS40" s="386"/>
      <c r="AT40" s="129"/>
      <c r="AU40" s="127"/>
      <c r="AV40" s="192"/>
    </row>
    <row r="41" spans="1:48" ht="6.75" customHeight="1" x14ac:dyDescent="0.15">
      <c r="A41" s="125"/>
      <c r="B41" s="370"/>
      <c r="C41" s="370"/>
      <c r="D41" s="371"/>
      <c r="E41" s="371"/>
      <c r="F41" s="371"/>
      <c r="G41" s="371"/>
      <c r="H41" s="371"/>
      <c r="I41" s="371"/>
      <c r="J41" s="371"/>
      <c r="K41" s="371"/>
      <c r="L41" s="374"/>
      <c r="M41" s="375"/>
      <c r="N41" s="375"/>
      <c r="O41" s="375"/>
      <c r="P41" s="375"/>
      <c r="Q41" s="375"/>
      <c r="R41" s="375"/>
      <c r="S41" s="375"/>
      <c r="T41" s="375"/>
      <c r="U41" s="375"/>
      <c r="V41" s="379"/>
      <c r="W41" s="380"/>
      <c r="X41" s="380"/>
      <c r="Y41" s="381"/>
      <c r="Z41" s="385"/>
      <c r="AA41" s="386"/>
      <c r="AB41" s="386"/>
      <c r="AC41" s="386"/>
      <c r="AD41" s="386"/>
      <c r="AE41" s="386"/>
      <c r="AF41" s="386"/>
      <c r="AG41" s="386"/>
      <c r="AH41" s="386"/>
      <c r="AI41" s="386"/>
      <c r="AJ41" s="386"/>
      <c r="AK41" s="386"/>
      <c r="AL41" s="386"/>
      <c r="AM41" s="386"/>
      <c r="AN41" s="386"/>
      <c r="AO41" s="386"/>
      <c r="AP41" s="386"/>
      <c r="AQ41" s="386"/>
      <c r="AR41" s="386"/>
      <c r="AS41" s="386"/>
      <c r="AT41" s="129"/>
      <c r="AU41" s="127"/>
      <c r="AV41" s="125"/>
    </row>
    <row r="42" spans="1:48" ht="6.75" customHeight="1" x14ac:dyDescent="0.15">
      <c r="A42" s="125"/>
      <c r="B42" s="370"/>
      <c r="C42" s="370"/>
      <c r="D42" s="371"/>
      <c r="E42" s="371"/>
      <c r="F42" s="371"/>
      <c r="G42" s="371"/>
      <c r="H42" s="371"/>
      <c r="I42" s="371"/>
      <c r="J42" s="371"/>
      <c r="K42" s="371"/>
      <c r="L42" s="374"/>
      <c r="M42" s="375"/>
      <c r="N42" s="375"/>
      <c r="O42" s="375"/>
      <c r="P42" s="375"/>
      <c r="Q42" s="375"/>
      <c r="R42" s="375"/>
      <c r="S42" s="375"/>
      <c r="T42" s="375"/>
      <c r="U42" s="375"/>
      <c r="V42" s="379"/>
      <c r="W42" s="380"/>
      <c r="X42" s="380"/>
      <c r="Y42" s="381"/>
      <c r="Z42" s="385"/>
      <c r="AA42" s="386"/>
      <c r="AB42" s="386"/>
      <c r="AC42" s="386"/>
      <c r="AD42" s="386"/>
      <c r="AE42" s="386"/>
      <c r="AF42" s="386"/>
      <c r="AG42" s="386"/>
      <c r="AH42" s="386"/>
      <c r="AI42" s="386"/>
      <c r="AJ42" s="386"/>
      <c r="AK42" s="386"/>
      <c r="AL42" s="386"/>
      <c r="AM42" s="386"/>
      <c r="AN42" s="386"/>
      <c r="AO42" s="386"/>
      <c r="AP42" s="386"/>
      <c r="AQ42" s="386"/>
      <c r="AR42" s="386"/>
      <c r="AS42" s="386"/>
      <c r="AT42" s="129"/>
      <c r="AU42" s="127"/>
      <c r="AV42" s="125"/>
    </row>
    <row r="43" spans="1:48" ht="6.75" customHeight="1" x14ac:dyDescent="0.15">
      <c r="A43" s="125"/>
      <c r="B43" s="370"/>
      <c r="C43" s="370"/>
      <c r="D43" s="371"/>
      <c r="E43" s="371"/>
      <c r="F43" s="371"/>
      <c r="G43" s="371"/>
      <c r="H43" s="371"/>
      <c r="I43" s="371"/>
      <c r="J43" s="371"/>
      <c r="K43" s="371"/>
      <c r="L43" s="374"/>
      <c r="M43" s="375"/>
      <c r="N43" s="375"/>
      <c r="O43" s="375"/>
      <c r="P43" s="375"/>
      <c r="Q43" s="375"/>
      <c r="R43" s="375"/>
      <c r="S43" s="375"/>
      <c r="T43" s="375"/>
      <c r="U43" s="375"/>
      <c r="V43" s="382"/>
      <c r="W43" s="383"/>
      <c r="X43" s="383"/>
      <c r="Y43" s="384"/>
      <c r="Z43" s="387"/>
      <c r="AA43" s="386"/>
      <c r="AB43" s="386"/>
      <c r="AC43" s="386"/>
      <c r="AD43" s="386"/>
      <c r="AE43" s="386"/>
      <c r="AF43" s="386"/>
      <c r="AG43" s="386"/>
      <c r="AH43" s="386"/>
      <c r="AI43" s="386"/>
      <c r="AJ43" s="386"/>
      <c r="AK43" s="386"/>
      <c r="AL43" s="386"/>
      <c r="AM43" s="386"/>
      <c r="AN43" s="386"/>
      <c r="AO43" s="386"/>
      <c r="AP43" s="386"/>
      <c r="AQ43" s="386"/>
      <c r="AR43" s="386"/>
      <c r="AS43" s="386"/>
      <c r="AT43" s="129"/>
      <c r="AV43" s="125"/>
    </row>
    <row r="44" spans="1:48" ht="12" customHeight="1" x14ac:dyDescent="0.15">
      <c r="A44" s="125"/>
      <c r="B44" s="370" t="s">
        <v>367</v>
      </c>
      <c r="C44" s="370"/>
      <c r="D44" s="354" t="s">
        <v>368</v>
      </c>
      <c r="E44" s="354"/>
      <c r="F44" s="354"/>
      <c r="G44" s="354"/>
      <c r="H44" s="354"/>
      <c r="I44" s="354"/>
      <c r="J44" s="354"/>
      <c r="K44" s="354"/>
      <c r="L44" s="372" t="e">
        <f>平均納品金額</f>
        <v>#DIV/0!</v>
      </c>
      <c r="M44" s="373"/>
      <c r="N44" s="373"/>
      <c r="O44" s="373"/>
      <c r="P44" s="373"/>
      <c r="Q44" s="373"/>
      <c r="R44" s="373"/>
      <c r="S44" s="373"/>
      <c r="T44" s="373"/>
      <c r="U44" s="399"/>
      <c r="V44" s="377" t="s">
        <v>365</v>
      </c>
      <c r="W44" s="377"/>
      <c r="X44" s="377"/>
      <c r="Y44" s="378"/>
      <c r="Z44" s="385" t="s">
        <v>369</v>
      </c>
      <c r="AA44" s="404"/>
      <c r="AB44" s="404"/>
      <c r="AC44" s="404"/>
      <c r="AD44" s="404"/>
      <c r="AE44" s="404"/>
      <c r="AF44" s="404"/>
      <c r="AG44" s="404"/>
      <c r="AH44" s="404"/>
      <c r="AI44" s="404"/>
      <c r="AJ44" s="404"/>
      <c r="AK44" s="404"/>
      <c r="AL44" s="404"/>
      <c r="AM44" s="404"/>
      <c r="AN44" s="404"/>
      <c r="AO44" s="404"/>
      <c r="AP44" s="404"/>
      <c r="AQ44" s="404"/>
      <c r="AR44" s="404"/>
      <c r="AS44" s="404"/>
      <c r="AT44" s="125"/>
      <c r="AV44" s="192"/>
    </row>
    <row r="45" spans="1:48" ht="6.75" customHeight="1" x14ac:dyDescent="0.15">
      <c r="A45" s="125"/>
      <c r="B45" s="370"/>
      <c r="C45" s="370"/>
      <c r="D45" s="397"/>
      <c r="E45" s="397"/>
      <c r="F45" s="397"/>
      <c r="G45" s="397"/>
      <c r="H45" s="397"/>
      <c r="I45" s="397"/>
      <c r="J45" s="397"/>
      <c r="K45" s="397"/>
      <c r="L45" s="374"/>
      <c r="M45" s="375"/>
      <c r="N45" s="375"/>
      <c r="O45" s="375"/>
      <c r="P45" s="375"/>
      <c r="Q45" s="375"/>
      <c r="R45" s="375"/>
      <c r="S45" s="375"/>
      <c r="T45" s="375"/>
      <c r="U45" s="400"/>
      <c r="V45" s="380"/>
      <c r="W45" s="380"/>
      <c r="X45" s="380"/>
      <c r="Y45" s="381"/>
      <c r="Z45" s="385"/>
      <c r="AA45" s="404"/>
      <c r="AB45" s="404"/>
      <c r="AC45" s="404"/>
      <c r="AD45" s="404"/>
      <c r="AE45" s="404"/>
      <c r="AF45" s="404"/>
      <c r="AG45" s="404"/>
      <c r="AH45" s="404"/>
      <c r="AI45" s="404"/>
      <c r="AJ45" s="404"/>
      <c r="AK45" s="404"/>
      <c r="AL45" s="404"/>
      <c r="AM45" s="404"/>
      <c r="AN45" s="404"/>
      <c r="AO45" s="404"/>
      <c r="AP45" s="404"/>
      <c r="AQ45" s="404"/>
      <c r="AR45" s="404"/>
      <c r="AS45" s="404"/>
      <c r="AT45" s="125"/>
      <c r="AV45" s="125"/>
    </row>
    <row r="46" spans="1:48" ht="6.75" customHeight="1" x14ac:dyDescent="0.15">
      <c r="A46" s="125"/>
      <c r="B46" s="370"/>
      <c r="C46" s="370"/>
      <c r="D46" s="397"/>
      <c r="E46" s="397"/>
      <c r="F46" s="397"/>
      <c r="G46" s="397"/>
      <c r="H46" s="397"/>
      <c r="I46" s="397"/>
      <c r="J46" s="397"/>
      <c r="K46" s="397"/>
      <c r="L46" s="374"/>
      <c r="M46" s="375"/>
      <c r="N46" s="375"/>
      <c r="O46" s="375"/>
      <c r="P46" s="375"/>
      <c r="Q46" s="375"/>
      <c r="R46" s="375"/>
      <c r="S46" s="375"/>
      <c r="T46" s="375"/>
      <c r="U46" s="400"/>
      <c r="V46" s="380"/>
      <c r="W46" s="380"/>
      <c r="X46" s="380"/>
      <c r="Y46" s="381"/>
      <c r="Z46" s="385"/>
      <c r="AA46" s="386"/>
      <c r="AB46" s="386"/>
      <c r="AC46" s="386"/>
      <c r="AD46" s="386"/>
      <c r="AE46" s="386"/>
      <c r="AF46" s="386"/>
      <c r="AG46" s="386"/>
      <c r="AH46" s="386"/>
      <c r="AI46" s="386"/>
      <c r="AJ46" s="386"/>
      <c r="AK46" s="386"/>
      <c r="AL46" s="386"/>
      <c r="AM46" s="386"/>
      <c r="AN46" s="386"/>
      <c r="AO46" s="386"/>
      <c r="AP46" s="386"/>
      <c r="AQ46" s="386"/>
      <c r="AR46" s="386"/>
      <c r="AS46" s="386"/>
      <c r="AT46" s="125"/>
      <c r="AV46" s="125"/>
    </row>
    <row r="47" spans="1:48" ht="6.75" customHeight="1" x14ac:dyDescent="0.15">
      <c r="A47" s="125"/>
      <c r="B47" s="370"/>
      <c r="C47" s="370"/>
      <c r="D47" s="398"/>
      <c r="E47" s="398"/>
      <c r="F47" s="398"/>
      <c r="G47" s="398"/>
      <c r="H47" s="398"/>
      <c r="I47" s="398"/>
      <c r="J47" s="398"/>
      <c r="K47" s="398"/>
      <c r="L47" s="401"/>
      <c r="M47" s="402"/>
      <c r="N47" s="402"/>
      <c r="O47" s="402"/>
      <c r="P47" s="402"/>
      <c r="Q47" s="402"/>
      <c r="R47" s="402"/>
      <c r="S47" s="402"/>
      <c r="T47" s="402"/>
      <c r="U47" s="403"/>
      <c r="V47" s="380"/>
      <c r="W47" s="380"/>
      <c r="X47" s="380"/>
      <c r="Y47" s="381"/>
      <c r="Z47" s="385"/>
      <c r="AA47" s="404"/>
      <c r="AB47" s="404"/>
      <c r="AC47" s="404"/>
      <c r="AD47" s="404"/>
      <c r="AE47" s="404"/>
      <c r="AF47" s="404"/>
      <c r="AG47" s="404"/>
      <c r="AH47" s="404"/>
      <c r="AI47" s="404"/>
      <c r="AJ47" s="404"/>
      <c r="AK47" s="404"/>
      <c r="AL47" s="404"/>
      <c r="AM47" s="404"/>
      <c r="AN47" s="404"/>
      <c r="AO47" s="404"/>
      <c r="AP47" s="404"/>
      <c r="AQ47" s="404"/>
      <c r="AR47" s="404"/>
      <c r="AS47" s="404"/>
      <c r="AT47" s="125"/>
      <c r="AV47" s="125"/>
    </row>
    <row r="48" spans="1:48" ht="27" customHeight="1" x14ac:dyDescent="0.15">
      <c r="A48" s="125"/>
      <c r="B48" s="370" t="s">
        <v>370</v>
      </c>
      <c r="C48" s="370"/>
      <c r="D48" s="370"/>
      <c r="E48" s="370"/>
      <c r="F48" s="370"/>
      <c r="G48" s="370"/>
      <c r="H48" s="370"/>
      <c r="I48" s="370"/>
      <c r="J48" s="370"/>
      <c r="K48" s="405"/>
      <c r="L48" s="406">
        <f>納入先</f>
        <v>0</v>
      </c>
      <c r="M48" s="407"/>
      <c r="N48" s="407"/>
      <c r="O48" s="407"/>
      <c r="P48" s="407"/>
      <c r="Q48" s="407"/>
      <c r="R48" s="407"/>
      <c r="S48" s="407"/>
      <c r="T48" s="407"/>
      <c r="U48" s="407"/>
      <c r="V48" s="408"/>
      <c r="W48" s="408"/>
      <c r="X48" s="408"/>
      <c r="Y48" s="409"/>
      <c r="Z48" s="385" t="s">
        <v>371</v>
      </c>
      <c r="AA48" s="404"/>
      <c r="AB48" s="404"/>
      <c r="AC48" s="404"/>
      <c r="AD48" s="404"/>
      <c r="AE48" s="404"/>
      <c r="AF48" s="404"/>
      <c r="AG48" s="404"/>
      <c r="AH48" s="404"/>
      <c r="AI48" s="404"/>
      <c r="AJ48" s="404"/>
      <c r="AK48" s="404"/>
      <c r="AL48" s="404"/>
      <c r="AM48" s="404"/>
      <c r="AN48" s="404"/>
      <c r="AO48" s="404"/>
      <c r="AP48" s="404"/>
      <c r="AQ48" s="404"/>
      <c r="AR48" s="404"/>
      <c r="AS48" s="404"/>
      <c r="AT48" s="125"/>
      <c r="AU48" s="130"/>
      <c r="AV48" s="192"/>
    </row>
    <row r="49" spans="1:48" ht="5.25" customHeight="1" x14ac:dyDescent="0.15">
      <c r="A49" s="125"/>
      <c r="B49" s="189"/>
      <c r="C49" s="189"/>
      <c r="D49" s="189"/>
      <c r="E49" s="189"/>
      <c r="F49" s="189"/>
      <c r="G49" s="189"/>
      <c r="H49" s="189"/>
      <c r="I49" s="189"/>
      <c r="J49" s="189"/>
      <c r="K49" s="177"/>
      <c r="L49" s="177"/>
      <c r="M49" s="177"/>
      <c r="N49" s="177"/>
      <c r="O49" s="177"/>
      <c r="P49" s="177"/>
      <c r="Q49" s="177"/>
      <c r="R49" s="177"/>
      <c r="S49" s="177"/>
      <c r="T49" s="177"/>
      <c r="U49" s="177"/>
      <c r="V49" s="177"/>
      <c r="W49" s="177"/>
      <c r="X49" s="177"/>
      <c r="Y49" s="177"/>
      <c r="Z49" s="193"/>
      <c r="AA49" s="193"/>
      <c r="AB49" s="193"/>
      <c r="AC49" s="193"/>
      <c r="AD49" s="193"/>
      <c r="AE49" s="193"/>
      <c r="AF49" s="193"/>
      <c r="AG49" s="193"/>
      <c r="AH49" s="193"/>
      <c r="AI49" s="193"/>
      <c r="AJ49" s="193"/>
      <c r="AK49" s="193"/>
      <c r="AL49" s="193"/>
      <c r="AM49" s="193"/>
      <c r="AN49" s="193"/>
      <c r="AO49" s="193"/>
      <c r="AP49" s="193"/>
      <c r="AQ49" s="193"/>
      <c r="AR49" s="193"/>
      <c r="AS49" s="193"/>
      <c r="AU49" s="130"/>
      <c r="AV49" s="192"/>
    </row>
    <row r="50" spans="1:48" x14ac:dyDescent="0.15">
      <c r="A50" s="188"/>
      <c r="B50" s="293" t="s">
        <v>242</v>
      </c>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191"/>
      <c r="AA50" s="191"/>
      <c r="AB50" s="191"/>
      <c r="AC50" s="191"/>
      <c r="AD50" s="191"/>
      <c r="AE50" s="191"/>
      <c r="AF50" s="191"/>
      <c r="AG50" s="191"/>
      <c r="AH50" s="191"/>
      <c r="AI50" s="191"/>
      <c r="AJ50" s="191"/>
      <c r="AK50" s="191"/>
      <c r="AL50" s="191"/>
      <c r="AM50" s="191"/>
      <c r="AN50" s="191"/>
      <c r="AO50" s="191"/>
      <c r="AP50" s="191"/>
      <c r="AQ50" s="191"/>
      <c r="AR50" s="191"/>
      <c r="AS50" s="191"/>
      <c r="AT50" s="125"/>
      <c r="AV50" s="125"/>
    </row>
    <row r="51" spans="1:48" x14ac:dyDescent="0.15">
      <c r="A51" s="188"/>
      <c r="B51" s="294"/>
      <c r="C51" s="294"/>
      <c r="D51" s="294"/>
      <c r="E51" s="294"/>
      <c r="F51" s="294"/>
      <c r="G51" s="294"/>
      <c r="H51" s="294"/>
      <c r="I51" s="294"/>
      <c r="J51" s="294"/>
      <c r="K51" s="294"/>
      <c r="L51" s="293"/>
      <c r="M51" s="293"/>
      <c r="N51" s="293"/>
      <c r="O51" s="293"/>
      <c r="P51" s="293"/>
      <c r="Q51" s="293"/>
      <c r="R51" s="293"/>
      <c r="S51" s="293"/>
      <c r="T51" s="293"/>
      <c r="U51" s="293"/>
      <c r="V51" s="293"/>
      <c r="W51" s="293"/>
      <c r="X51" s="293"/>
      <c r="Y51" s="293"/>
      <c r="Z51" s="191"/>
      <c r="AA51" s="191"/>
      <c r="AB51" s="191"/>
      <c r="AC51" s="191"/>
      <c r="AD51" s="191"/>
      <c r="AE51" s="191"/>
      <c r="AF51" s="191"/>
      <c r="AG51" s="191"/>
      <c r="AH51" s="191"/>
      <c r="AI51" s="191"/>
      <c r="AJ51" s="191"/>
      <c r="AK51" s="191"/>
      <c r="AL51" s="191"/>
      <c r="AM51" s="191"/>
      <c r="AN51" s="191"/>
      <c r="AO51" s="191"/>
      <c r="AP51" s="191"/>
      <c r="AQ51" s="191"/>
      <c r="AR51" s="191"/>
      <c r="AS51" s="191"/>
      <c r="AT51" s="125"/>
      <c r="AV51" s="125"/>
    </row>
    <row r="52" spans="1:48" ht="12.75" customHeight="1" x14ac:dyDescent="0.15">
      <c r="A52" s="125"/>
      <c r="B52" s="388" t="s">
        <v>372</v>
      </c>
      <c r="C52" s="389"/>
      <c r="D52" s="389"/>
      <c r="E52" s="389"/>
      <c r="F52" s="389"/>
      <c r="G52" s="389"/>
      <c r="H52" s="389"/>
      <c r="I52" s="389"/>
      <c r="J52" s="389"/>
      <c r="K52" s="389"/>
      <c r="L52" s="394">
        <f>設定費用</f>
        <v>0</v>
      </c>
      <c r="M52" s="394"/>
      <c r="N52" s="394"/>
      <c r="O52" s="394"/>
      <c r="P52" s="394"/>
      <c r="Q52" s="394"/>
      <c r="R52" s="394"/>
      <c r="S52" s="394"/>
      <c r="T52" s="394"/>
      <c r="U52" s="394"/>
      <c r="V52" s="395" t="s">
        <v>365</v>
      </c>
      <c r="W52" s="396"/>
      <c r="X52" s="396"/>
      <c r="Y52" s="396"/>
      <c r="Z52" s="385" t="s">
        <v>373</v>
      </c>
      <c r="AA52" s="386"/>
      <c r="AB52" s="386"/>
      <c r="AC52" s="386"/>
      <c r="AD52" s="386"/>
      <c r="AE52" s="386"/>
      <c r="AF52" s="386"/>
      <c r="AG52" s="386"/>
      <c r="AH52" s="386"/>
      <c r="AI52" s="386"/>
      <c r="AJ52" s="386"/>
      <c r="AK52" s="386"/>
      <c r="AL52" s="386"/>
      <c r="AM52" s="386"/>
      <c r="AN52" s="386"/>
      <c r="AO52" s="386"/>
      <c r="AP52" s="386"/>
      <c r="AQ52" s="386"/>
      <c r="AR52" s="386"/>
      <c r="AS52" s="386"/>
      <c r="AT52" s="125"/>
      <c r="AV52" s="192"/>
    </row>
    <row r="53" spans="1:48" ht="12.75" customHeight="1" x14ac:dyDescent="0.15">
      <c r="A53" s="125"/>
      <c r="B53" s="390"/>
      <c r="C53" s="391"/>
      <c r="D53" s="391"/>
      <c r="E53" s="391"/>
      <c r="F53" s="391"/>
      <c r="G53" s="391"/>
      <c r="H53" s="391"/>
      <c r="I53" s="391"/>
      <c r="J53" s="391"/>
      <c r="K53" s="391"/>
      <c r="L53" s="394"/>
      <c r="M53" s="394"/>
      <c r="N53" s="394"/>
      <c r="O53" s="394"/>
      <c r="P53" s="394"/>
      <c r="Q53" s="394"/>
      <c r="R53" s="394"/>
      <c r="S53" s="394"/>
      <c r="T53" s="394"/>
      <c r="U53" s="394"/>
      <c r="V53" s="396"/>
      <c r="W53" s="396"/>
      <c r="X53" s="396"/>
      <c r="Y53" s="396"/>
      <c r="Z53" s="385"/>
      <c r="AA53" s="386"/>
      <c r="AB53" s="386"/>
      <c r="AC53" s="386"/>
      <c r="AD53" s="386"/>
      <c r="AE53" s="386"/>
      <c r="AF53" s="386"/>
      <c r="AG53" s="386"/>
      <c r="AH53" s="386"/>
      <c r="AI53" s="386"/>
      <c r="AJ53" s="386"/>
      <c r="AK53" s="386"/>
      <c r="AL53" s="386"/>
      <c r="AM53" s="386"/>
      <c r="AN53" s="386"/>
      <c r="AO53" s="386"/>
      <c r="AP53" s="386"/>
      <c r="AQ53" s="386"/>
      <c r="AR53" s="386"/>
      <c r="AS53" s="386"/>
      <c r="AT53" s="125"/>
      <c r="AV53" s="125"/>
    </row>
    <row r="54" spans="1:48" ht="12.75" customHeight="1" x14ac:dyDescent="0.15">
      <c r="A54" s="125"/>
      <c r="B54" s="392"/>
      <c r="C54" s="393"/>
      <c r="D54" s="393"/>
      <c r="E54" s="393"/>
      <c r="F54" s="393"/>
      <c r="G54" s="393"/>
      <c r="H54" s="393"/>
      <c r="I54" s="393"/>
      <c r="J54" s="393"/>
      <c r="K54" s="393"/>
      <c r="L54" s="394"/>
      <c r="M54" s="394"/>
      <c r="N54" s="394"/>
      <c r="O54" s="394"/>
      <c r="P54" s="394"/>
      <c r="Q54" s="394"/>
      <c r="R54" s="394"/>
      <c r="S54" s="394"/>
      <c r="T54" s="394"/>
      <c r="U54" s="394"/>
      <c r="V54" s="396"/>
      <c r="W54" s="396"/>
      <c r="X54" s="396"/>
      <c r="Y54" s="396"/>
      <c r="Z54" s="387"/>
      <c r="AA54" s="386"/>
      <c r="AB54" s="386"/>
      <c r="AC54" s="386"/>
      <c r="AD54" s="386"/>
      <c r="AE54" s="386"/>
      <c r="AF54" s="386"/>
      <c r="AG54" s="386"/>
      <c r="AH54" s="386"/>
      <c r="AI54" s="386"/>
      <c r="AJ54" s="386"/>
      <c r="AK54" s="386"/>
      <c r="AL54" s="386"/>
      <c r="AM54" s="386"/>
      <c r="AN54" s="386"/>
      <c r="AO54" s="386"/>
      <c r="AP54" s="386"/>
      <c r="AQ54" s="386"/>
      <c r="AR54" s="386"/>
      <c r="AS54" s="386"/>
      <c r="AT54" s="125"/>
      <c r="AV54" s="125"/>
    </row>
    <row r="55" spans="1:48" ht="8.25" customHeight="1" x14ac:dyDescent="0.15">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25"/>
    </row>
    <row r="56" spans="1:48" x14ac:dyDescent="0.15">
      <c r="A56" s="125"/>
      <c r="B56" s="293" t="s">
        <v>244</v>
      </c>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125"/>
    </row>
    <row r="57" spans="1:48" ht="12.75" thickBot="1" x14ac:dyDescent="0.2">
      <c r="A57" s="125"/>
      <c r="B57" s="294"/>
      <c r="C57" s="294"/>
      <c r="D57" s="294"/>
      <c r="E57" s="294"/>
      <c r="F57" s="294"/>
      <c r="G57" s="294"/>
      <c r="H57" s="294"/>
      <c r="I57" s="294"/>
      <c r="J57" s="294"/>
      <c r="K57" s="294"/>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125"/>
    </row>
    <row r="58" spans="1:48" x14ac:dyDescent="0.15">
      <c r="A58" s="125"/>
      <c r="B58" s="295" t="s">
        <v>243</v>
      </c>
      <c r="C58" s="296"/>
      <c r="D58" s="296"/>
      <c r="E58" s="296"/>
      <c r="F58" s="296"/>
      <c r="G58" s="296"/>
      <c r="H58" s="296"/>
      <c r="I58" s="296"/>
      <c r="J58" s="296"/>
      <c r="K58" s="296"/>
      <c r="L58" s="433"/>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5"/>
      <c r="AT58" s="125"/>
      <c r="AV58" s="126" t="str">
        <f>IF(L58&lt;&gt;"","OK","必須")</f>
        <v>必須</v>
      </c>
    </row>
    <row r="59" spans="1:48" x14ac:dyDescent="0.15">
      <c r="A59" s="125"/>
      <c r="B59" s="305"/>
      <c r="C59" s="306"/>
      <c r="D59" s="306"/>
      <c r="E59" s="306"/>
      <c r="F59" s="306"/>
      <c r="G59" s="306"/>
      <c r="H59" s="306"/>
      <c r="I59" s="306"/>
      <c r="J59" s="306"/>
      <c r="K59" s="306"/>
      <c r="L59" s="436"/>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8"/>
      <c r="AT59" s="125"/>
    </row>
    <row r="60" spans="1:48" x14ac:dyDescent="0.15">
      <c r="A60" s="125"/>
      <c r="B60" s="305"/>
      <c r="C60" s="306"/>
      <c r="D60" s="306"/>
      <c r="E60" s="306"/>
      <c r="F60" s="306"/>
      <c r="G60" s="306"/>
      <c r="H60" s="306"/>
      <c r="I60" s="306"/>
      <c r="J60" s="306"/>
      <c r="K60" s="306"/>
      <c r="L60" s="436"/>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8"/>
      <c r="AT60" s="125"/>
    </row>
    <row r="61" spans="1:48" ht="12.75" thickBot="1" x14ac:dyDescent="0.2">
      <c r="A61" s="125"/>
      <c r="B61" s="297"/>
      <c r="C61" s="298"/>
      <c r="D61" s="298"/>
      <c r="E61" s="298"/>
      <c r="F61" s="298"/>
      <c r="G61" s="298"/>
      <c r="H61" s="298"/>
      <c r="I61" s="298"/>
      <c r="J61" s="298"/>
      <c r="K61" s="298"/>
      <c r="L61" s="439"/>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1"/>
      <c r="AT61" s="125"/>
    </row>
    <row r="62" spans="1:48" x14ac:dyDescent="0.15">
      <c r="A62" s="125"/>
      <c r="B62" s="442" t="s">
        <v>245</v>
      </c>
      <c r="C62" s="442"/>
      <c r="D62" s="442"/>
      <c r="E62" s="442"/>
      <c r="F62" s="442"/>
      <c r="G62" s="442"/>
      <c r="H62" s="442"/>
      <c r="I62" s="442"/>
      <c r="J62" s="442"/>
      <c r="K62" s="442"/>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125"/>
    </row>
    <row r="63" spans="1:48" x14ac:dyDescent="0.15">
      <c r="A63" s="125"/>
      <c r="B63" s="293"/>
      <c r="C63" s="293"/>
      <c r="D63" s="293"/>
      <c r="E63" s="293"/>
      <c r="F63" s="293"/>
      <c r="G63" s="293"/>
      <c r="H63" s="293"/>
      <c r="I63" s="293"/>
      <c r="J63" s="293"/>
      <c r="K63" s="293"/>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row>
    <row r="64" spans="1:48" ht="12" customHeight="1" x14ac:dyDescent="0.15">
      <c r="A64" s="280" t="s">
        <v>224</v>
      </c>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2"/>
    </row>
    <row r="65" spans="1:48" ht="12" customHeight="1" x14ac:dyDescent="0.15">
      <c r="A65" s="283"/>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5"/>
    </row>
    <row r="66" spans="1:48" x14ac:dyDescent="0.15">
      <c r="A66" s="286" t="str">
        <f>"【"&amp;製品カテゴリ&amp;"】"</f>
        <v>【AGV・AMR】</v>
      </c>
      <c r="B66" s="286"/>
      <c r="C66" s="286"/>
      <c r="D66" s="286"/>
      <c r="E66" s="286"/>
      <c r="F66" s="286"/>
      <c r="G66" s="286"/>
      <c r="H66" s="286"/>
      <c r="I66" s="286"/>
      <c r="J66" s="286"/>
      <c r="K66" s="286"/>
      <c r="L66" s="286"/>
      <c r="M66" s="286"/>
      <c r="N66" s="286"/>
      <c r="O66" s="286"/>
      <c r="P66" s="286"/>
      <c r="Q66" s="286"/>
      <c r="R66" s="286"/>
      <c r="S66" s="286"/>
      <c r="T66" s="286"/>
      <c r="U66" s="286"/>
      <c r="V66" s="286"/>
      <c r="W66" s="286"/>
      <c r="X66" s="125"/>
      <c r="Y66" s="125"/>
      <c r="Z66" s="125"/>
      <c r="AA66" s="125"/>
      <c r="AB66" s="125"/>
      <c r="AC66" s="125"/>
      <c r="AD66" s="125"/>
      <c r="AE66" s="125"/>
      <c r="AF66" s="125"/>
      <c r="AG66" s="125"/>
      <c r="AH66" s="125"/>
      <c r="AI66" s="125"/>
      <c r="AJ66" s="125"/>
      <c r="AK66" s="125"/>
      <c r="AL66" s="125"/>
      <c r="AM66" s="125"/>
      <c r="AN66" s="125"/>
      <c r="AO66" s="125"/>
      <c r="AP66" s="290" t="s">
        <v>246</v>
      </c>
      <c r="AQ66" s="290"/>
      <c r="AR66" s="290"/>
      <c r="AS66" s="290"/>
      <c r="AT66" s="290"/>
    </row>
    <row r="67" spans="1:48" x14ac:dyDescent="0.15">
      <c r="A67" s="287"/>
      <c r="B67" s="287"/>
      <c r="C67" s="287"/>
      <c r="D67" s="287"/>
      <c r="E67" s="287"/>
      <c r="F67" s="287"/>
      <c r="G67" s="287"/>
      <c r="H67" s="287"/>
      <c r="I67" s="287"/>
      <c r="J67" s="287"/>
      <c r="K67" s="287"/>
      <c r="L67" s="287"/>
      <c r="M67" s="287"/>
      <c r="N67" s="287"/>
      <c r="O67" s="287"/>
      <c r="P67" s="287"/>
      <c r="Q67" s="287"/>
      <c r="R67" s="287"/>
      <c r="S67" s="287"/>
      <c r="T67" s="287"/>
      <c r="U67" s="287"/>
      <c r="V67" s="287"/>
      <c r="W67" s="287"/>
      <c r="X67" s="125"/>
      <c r="Y67" s="125"/>
      <c r="Z67" s="125"/>
      <c r="AA67" s="125"/>
      <c r="AB67" s="125"/>
      <c r="AC67" s="125"/>
      <c r="AD67" s="125"/>
      <c r="AE67" s="125"/>
      <c r="AF67" s="125"/>
      <c r="AG67" s="125"/>
      <c r="AH67" s="125"/>
      <c r="AI67" s="125"/>
      <c r="AJ67" s="125"/>
      <c r="AK67" s="125"/>
      <c r="AL67" s="125"/>
      <c r="AM67" s="125"/>
      <c r="AN67" s="125"/>
      <c r="AO67" s="125"/>
      <c r="AP67" s="291"/>
      <c r="AQ67" s="291"/>
      <c r="AR67" s="291"/>
      <c r="AS67" s="291"/>
      <c r="AT67" s="291"/>
    </row>
    <row r="68" spans="1:48" x14ac:dyDescent="0.15">
      <c r="A68" s="125"/>
      <c r="B68" s="293" t="s">
        <v>247</v>
      </c>
      <c r="C68" s="293"/>
      <c r="D68" s="293"/>
      <c r="E68" s="293"/>
      <c r="F68" s="293"/>
      <c r="G68" s="293"/>
      <c r="H68" s="293"/>
      <c r="I68" s="293"/>
      <c r="J68" s="293"/>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row>
    <row r="69" spans="1:48" x14ac:dyDescent="0.15">
      <c r="A69" s="125"/>
      <c r="B69" s="293"/>
      <c r="C69" s="293"/>
      <c r="D69" s="293"/>
      <c r="E69" s="293"/>
      <c r="F69" s="293"/>
      <c r="G69" s="293"/>
      <c r="H69" s="293"/>
      <c r="I69" s="293"/>
      <c r="J69" s="293"/>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row>
    <row r="70" spans="1:48" x14ac:dyDescent="0.15">
      <c r="A70" s="125"/>
      <c r="B70" s="293" t="s">
        <v>248</v>
      </c>
      <c r="C70" s="293"/>
      <c r="D70" s="293"/>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125"/>
    </row>
    <row r="71" spans="1:48" ht="12.75" thickBot="1" x14ac:dyDescent="0.2">
      <c r="A71" s="125"/>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3"/>
      <c r="AS71" s="293"/>
      <c r="AT71" s="125"/>
    </row>
    <row r="72" spans="1:48" ht="12.75" thickBot="1" x14ac:dyDescent="0.2">
      <c r="A72" s="125"/>
      <c r="B72" s="410" t="s">
        <v>249</v>
      </c>
      <c r="C72" s="411"/>
      <c r="D72" s="416" t="s">
        <v>374</v>
      </c>
      <c r="E72" s="417"/>
      <c r="F72" s="417"/>
      <c r="G72" s="417"/>
      <c r="H72" s="417"/>
      <c r="I72" s="418"/>
      <c r="J72" s="425" t="s">
        <v>375</v>
      </c>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31"/>
      <c r="AS72" s="432"/>
      <c r="AT72" s="125"/>
    </row>
    <row r="73" spans="1:48" ht="12.75" thickBot="1" x14ac:dyDescent="0.2">
      <c r="A73" s="125"/>
      <c r="B73" s="412"/>
      <c r="C73" s="413"/>
      <c r="D73" s="419"/>
      <c r="E73" s="420"/>
      <c r="F73" s="420"/>
      <c r="G73" s="420"/>
      <c r="H73" s="420"/>
      <c r="I73" s="421"/>
      <c r="J73" s="427"/>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31"/>
      <c r="AS73" s="432"/>
      <c r="AT73" s="125"/>
      <c r="AU73" s="130" t="b">
        <v>0</v>
      </c>
      <c r="AV73" s="126" t="str">
        <f>IF(AU73,"OK","必須")</f>
        <v>必須</v>
      </c>
    </row>
    <row r="74" spans="1:48" ht="12.75" thickBot="1" x14ac:dyDescent="0.2">
      <c r="A74" s="125"/>
      <c r="B74" s="414"/>
      <c r="C74" s="415"/>
      <c r="D74" s="422"/>
      <c r="E74" s="423"/>
      <c r="F74" s="423"/>
      <c r="G74" s="423"/>
      <c r="H74" s="423"/>
      <c r="I74" s="424"/>
      <c r="J74" s="429"/>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430"/>
      <c r="AR74" s="431"/>
      <c r="AS74" s="432"/>
      <c r="AT74" s="125"/>
      <c r="AU74" s="130"/>
    </row>
    <row r="75" spans="1:48" ht="12.75" thickBot="1" x14ac:dyDescent="0.2">
      <c r="A75" s="125"/>
      <c r="B75" s="410" t="s">
        <v>250</v>
      </c>
      <c r="C75" s="411"/>
      <c r="D75" s="416" t="s">
        <v>374</v>
      </c>
      <c r="E75" s="417"/>
      <c r="F75" s="417"/>
      <c r="G75" s="417"/>
      <c r="H75" s="417"/>
      <c r="I75" s="418"/>
      <c r="J75" s="425" t="s">
        <v>376</v>
      </c>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31"/>
      <c r="AS75" s="432"/>
      <c r="AT75" s="125"/>
      <c r="AU75" s="130"/>
    </row>
    <row r="76" spans="1:48" ht="12.75" thickBot="1" x14ac:dyDescent="0.2">
      <c r="A76" s="125"/>
      <c r="B76" s="412"/>
      <c r="C76" s="413"/>
      <c r="D76" s="419"/>
      <c r="E76" s="420"/>
      <c r="F76" s="420"/>
      <c r="G76" s="420"/>
      <c r="H76" s="420"/>
      <c r="I76" s="421"/>
      <c r="J76" s="427"/>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31"/>
      <c r="AS76" s="432"/>
      <c r="AT76" s="125"/>
      <c r="AU76" s="130"/>
    </row>
    <row r="77" spans="1:48" ht="12.75" thickBot="1" x14ac:dyDescent="0.2">
      <c r="A77" s="125"/>
      <c r="B77" s="412"/>
      <c r="C77" s="413"/>
      <c r="D77" s="419"/>
      <c r="E77" s="420"/>
      <c r="F77" s="420"/>
      <c r="G77" s="420"/>
      <c r="H77" s="420"/>
      <c r="I77" s="421"/>
      <c r="J77" s="427"/>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31"/>
      <c r="AS77" s="432"/>
      <c r="AT77" s="125"/>
      <c r="AU77" s="130" t="b">
        <v>0</v>
      </c>
      <c r="AV77" s="126" t="str">
        <f>IF(AU77,"OK","必須")</f>
        <v>必須</v>
      </c>
    </row>
    <row r="78" spans="1:48" ht="12.75" thickBot="1" x14ac:dyDescent="0.2">
      <c r="A78" s="125"/>
      <c r="B78" s="414"/>
      <c r="C78" s="415"/>
      <c r="D78" s="422"/>
      <c r="E78" s="423"/>
      <c r="F78" s="423"/>
      <c r="G78" s="423"/>
      <c r="H78" s="423"/>
      <c r="I78" s="424"/>
      <c r="J78" s="429"/>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1"/>
      <c r="AS78" s="432"/>
      <c r="AT78" s="125"/>
      <c r="AU78" s="130"/>
    </row>
    <row r="79" spans="1:48" ht="14.25" customHeight="1" thickBot="1" x14ac:dyDescent="0.2">
      <c r="A79" s="125"/>
      <c r="B79" s="410" t="s">
        <v>251</v>
      </c>
      <c r="C79" s="411"/>
      <c r="D79" s="416" t="s">
        <v>374</v>
      </c>
      <c r="E79" s="417"/>
      <c r="F79" s="417"/>
      <c r="G79" s="417"/>
      <c r="H79" s="417"/>
      <c r="I79" s="418"/>
      <c r="J79" s="425" t="s">
        <v>377</v>
      </c>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31"/>
      <c r="AS79" s="432"/>
      <c r="AT79" s="125"/>
    </row>
    <row r="80" spans="1:48" ht="14.25" customHeight="1" thickBot="1" x14ac:dyDescent="0.2">
      <c r="A80" s="125"/>
      <c r="B80" s="412"/>
      <c r="C80" s="413"/>
      <c r="D80" s="419"/>
      <c r="E80" s="420"/>
      <c r="F80" s="420"/>
      <c r="G80" s="420"/>
      <c r="H80" s="420"/>
      <c r="I80" s="421"/>
      <c r="J80" s="427"/>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31"/>
      <c r="AS80" s="432"/>
      <c r="AT80" s="125"/>
      <c r="AU80" s="130" t="b">
        <v>0</v>
      </c>
      <c r="AV80" s="126" t="str">
        <f>IF(AU80,"OK","必須")</f>
        <v>必須</v>
      </c>
    </row>
    <row r="81" spans="1:48" ht="14.25" customHeight="1" thickBot="1" x14ac:dyDescent="0.2">
      <c r="A81" s="125"/>
      <c r="B81" s="414"/>
      <c r="C81" s="415"/>
      <c r="D81" s="422"/>
      <c r="E81" s="423"/>
      <c r="F81" s="423"/>
      <c r="G81" s="423"/>
      <c r="H81" s="423"/>
      <c r="I81" s="424"/>
      <c r="J81" s="429"/>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c r="AR81" s="431"/>
      <c r="AS81" s="432"/>
      <c r="AT81" s="125"/>
      <c r="AU81" s="130"/>
    </row>
    <row r="82" spans="1:48" ht="15" customHeight="1" thickBot="1" x14ac:dyDescent="0.2">
      <c r="A82" s="125"/>
      <c r="B82" s="410" t="s">
        <v>252</v>
      </c>
      <c r="C82" s="411"/>
      <c r="D82" s="416" t="s">
        <v>374</v>
      </c>
      <c r="E82" s="417"/>
      <c r="F82" s="417"/>
      <c r="G82" s="417"/>
      <c r="H82" s="417"/>
      <c r="I82" s="418"/>
      <c r="J82" s="425" t="s">
        <v>378</v>
      </c>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c r="AK82" s="426"/>
      <c r="AL82" s="426"/>
      <c r="AM82" s="426"/>
      <c r="AN82" s="426"/>
      <c r="AO82" s="426"/>
      <c r="AP82" s="426"/>
      <c r="AQ82" s="426"/>
      <c r="AR82" s="431"/>
      <c r="AS82" s="432"/>
      <c r="AT82" s="125"/>
      <c r="AU82" s="130"/>
    </row>
    <row r="83" spans="1:48" ht="15" customHeight="1" thickBot="1" x14ac:dyDescent="0.2">
      <c r="A83" s="125"/>
      <c r="B83" s="412"/>
      <c r="C83" s="413"/>
      <c r="D83" s="419"/>
      <c r="E83" s="420"/>
      <c r="F83" s="420"/>
      <c r="G83" s="420"/>
      <c r="H83" s="420"/>
      <c r="I83" s="421"/>
      <c r="J83" s="427"/>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31"/>
      <c r="AS83" s="432"/>
      <c r="AT83" s="125"/>
      <c r="AU83" s="130" t="b">
        <v>0</v>
      </c>
      <c r="AV83" s="126" t="str">
        <f>IF(AU83,"OK","必須")</f>
        <v>必須</v>
      </c>
    </row>
    <row r="84" spans="1:48" ht="15" customHeight="1" thickBot="1" x14ac:dyDescent="0.2">
      <c r="A84" s="125"/>
      <c r="B84" s="414"/>
      <c r="C84" s="415"/>
      <c r="D84" s="422"/>
      <c r="E84" s="423"/>
      <c r="F84" s="423"/>
      <c r="G84" s="423"/>
      <c r="H84" s="423"/>
      <c r="I84" s="424"/>
      <c r="J84" s="429"/>
      <c r="K84" s="430"/>
      <c r="L84" s="430"/>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0"/>
      <c r="AK84" s="430"/>
      <c r="AL84" s="430"/>
      <c r="AM84" s="430"/>
      <c r="AN84" s="430"/>
      <c r="AO84" s="430"/>
      <c r="AP84" s="430"/>
      <c r="AQ84" s="430"/>
      <c r="AR84" s="431"/>
      <c r="AS84" s="432"/>
      <c r="AT84" s="125"/>
      <c r="AU84" s="130"/>
    </row>
    <row r="85" spans="1:48" ht="12" customHeight="1" thickBot="1" x14ac:dyDescent="0.2">
      <c r="A85" s="125"/>
      <c r="B85" s="410" t="s">
        <v>254</v>
      </c>
      <c r="C85" s="411"/>
      <c r="D85" s="416" t="s">
        <v>374</v>
      </c>
      <c r="E85" s="417"/>
      <c r="F85" s="417"/>
      <c r="G85" s="417"/>
      <c r="H85" s="417"/>
      <c r="I85" s="418"/>
      <c r="J85" s="425" t="s">
        <v>379</v>
      </c>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31"/>
      <c r="AS85" s="432"/>
      <c r="AT85" s="125"/>
      <c r="AU85" s="130"/>
    </row>
    <row r="86" spans="1:48" ht="12.75" thickBot="1" x14ac:dyDescent="0.2">
      <c r="A86" s="125"/>
      <c r="B86" s="412"/>
      <c r="C86" s="413"/>
      <c r="D86" s="419"/>
      <c r="E86" s="420"/>
      <c r="F86" s="420"/>
      <c r="G86" s="420"/>
      <c r="H86" s="420"/>
      <c r="I86" s="421"/>
      <c r="J86" s="427"/>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31"/>
      <c r="AS86" s="432"/>
      <c r="AT86" s="125"/>
      <c r="AU86" s="130" t="b">
        <v>0</v>
      </c>
      <c r="AV86" s="126" t="str">
        <f>IF(AU86,"OK","必須")</f>
        <v>必須</v>
      </c>
    </row>
    <row r="87" spans="1:48" ht="12.75" thickBot="1" x14ac:dyDescent="0.2">
      <c r="A87" s="125"/>
      <c r="B87" s="414"/>
      <c r="C87" s="415"/>
      <c r="D87" s="422"/>
      <c r="E87" s="423"/>
      <c r="F87" s="423"/>
      <c r="G87" s="423"/>
      <c r="H87" s="423"/>
      <c r="I87" s="424"/>
      <c r="J87" s="429"/>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1"/>
      <c r="AS87" s="432"/>
      <c r="AT87" s="125"/>
      <c r="AU87" s="130"/>
    </row>
    <row r="88" spans="1:48" ht="12" customHeight="1" thickBot="1" x14ac:dyDescent="0.2">
      <c r="A88" s="125"/>
      <c r="B88" s="410" t="s">
        <v>256</v>
      </c>
      <c r="C88" s="411"/>
      <c r="D88" s="416" t="s">
        <v>374</v>
      </c>
      <c r="E88" s="417"/>
      <c r="F88" s="417"/>
      <c r="G88" s="417"/>
      <c r="H88" s="417"/>
      <c r="I88" s="418"/>
      <c r="J88" s="425" t="s">
        <v>253</v>
      </c>
      <c r="K88" s="426"/>
      <c r="L88" s="426"/>
      <c r="M88" s="426"/>
      <c r="N88" s="426"/>
      <c r="O88" s="426"/>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31"/>
      <c r="AS88" s="432"/>
      <c r="AT88" s="125"/>
      <c r="AU88" s="130"/>
    </row>
    <row r="89" spans="1:48" ht="12.75" thickBot="1" x14ac:dyDescent="0.2">
      <c r="A89" s="125"/>
      <c r="B89" s="412"/>
      <c r="C89" s="413"/>
      <c r="D89" s="419"/>
      <c r="E89" s="420"/>
      <c r="F89" s="420"/>
      <c r="G89" s="420"/>
      <c r="H89" s="420"/>
      <c r="I89" s="421"/>
      <c r="J89" s="427"/>
      <c r="K89" s="428"/>
      <c r="L89" s="428"/>
      <c r="M89" s="428"/>
      <c r="N89" s="428"/>
      <c r="O89" s="428"/>
      <c r="P89" s="428"/>
      <c r="Q89" s="428"/>
      <c r="R89" s="428"/>
      <c r="S89" s="428"/>
      <c r="T89" s="428"/>
      <c r="U89" s="428"/>
      <c r="V89" s="428"/>
      <c r="W89" s="428"/>
      <c r="X89" s="428"/>
      <c r="Y89" s="428"/>
      <c r="Z89" s="428"/>
      <c r="AA89" s="428"/>
      <c r="AB89" s="428"/>
      <c r="AC89" s="428"/>
      <c r="AD89" s="428"/>
      <c r="AE89" s="428"/>
      <c r="AF89" s="428"/>
      <c r="AG89" s="428"/>
      <c r="AH89" s="428"/>
      <c r="AI89" s="428"/>
      <c r="AJ89" s="428"/>
      <c r="AK89" s="428"/>
      <c r="AL89" s="428"/>
      <c r="AM89" s="428"/>
      <c r="AN89" s="428"/>
      <c r="AO89" s="428"/>
      <c r="AP89" s="428"/>
      <c r="AQ89" s="428"/>
      <c r="AR89" s="431"/>
      <c r="AS89" s="432"/>
      <c r="AT89" s="125"/>
      <c r="AU89" s="130" t="b">
        <v>0</v>
      </c>
      <c r="AV89" s="126" t="str">
        <f>IF(AU89,"OK","必須")</f>
        <v>必須</v>
      </c>
    </row>
    <row r="90" spans="1:48" ht="12.75" thickBot="1" x14ac:dyDescent="0.2">
      <c r="A90" s="125"/>
      <c r="B90" s="414"/>
      <c r="C90" s="415"/>
      <c r="D90" s="422"/>
      <c r="E90" s="423"/>
      <c r="F90" s="423"/>
      <c r="G90" s="423"/>
      <c r="H90" s="423"/>
      <c r="I90" s="424"/>
      <c r="J90" s="429"/>
      <c r="K90" s="430"/>
      <c r="L90" s="430"/>
      <c r="M90" s="430"/>
      <c r="N90" s="430"/>
      <c r="O90" s="430"/>
      <c r="P90" s="430"/>
      <c r="Q90" s="430"/>
      <c r="R90" s="430"/>
      <c r="S90" s="430"/>
      <c r="T90" s="430"/>
      <c r="U90" s="430"/>
      <c r="V90" s="430"/>
      <c r="W90" s="430"/>
      <c r="X90" s="430"/>
      <c r="Y90" s="430"/>
      <c r="Z90" s="430"/>
      <c r="AA90" s="430"/>
      <c r="AB90" s="430"/>
      <c r="AC90" s="430"/>
      <c r="AD90" s="430"/>
      <c r="AE90" s="430"/>
      <c r="AF90" s="430"/>
      <c r="AG90" s="430"/>
      <c r="AH90" s="430"/>
      <c r="AI90" s="430"/>
      <c r="AJ90" s="430"/>
      <c r="AK90" s="430"/>
      <c r="AL90" s="430"/>
      <c r="AM90" s="430"/>
      <c r="AN90" s="430"/>
      <c r="AO90" s="430"/>
      <c r="AP90" s="430"/>
      <c r="AQ90" s="430"/>
      <c r="AR90" s="431"/>
      <c r="AS90" s="432"/>
      <c r="AT90" s="125"/>
      <c r="AU90" s="130"/>
    </row>
    <row r="91" spans="1:48" ht="12" customHeight="1" thickBot="1" x14ac:dyDescent="0.2">
      <c r="A91" s="125"/>
      <c r="B91" s="410" t="s">
        <v>257</v>
      </c>
      <c r="C91" s="411"/>
      <c r="D91" s="416" t="s">
        <v>374</v>
      </c>
      <c r="E91" s="417"/>
      <c r="F91" s="417"/>
      <c r="G91" s="417"/>
      <c r="H91" s="417"/>
      <c r="I91" s="418"/>
      <c r="J91" s="425" t="s">
        <v>255</v>
      </c>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26"/>
      <c r="AN91" s="426"/>
      <c r="AO91" s="426"/>
      <c r="AP91" s="426"/>
      <c r="AQ91" s="426"/>
      <c r="AR91" s="431"/>
      <c r="AS91" s="432"/>
      <c r="AT91" s="125"/>
      <c r="AU91" s="130"/>
    </row>
    <row r="92" spans="1:48" ht="12.75" thickBot="1" x14ac:dyDescent="0.2">
      <c r="A92" s="125"/>
      <c r="B92" s="412"/>
      <c r="C92" s="413"/>
      <c r="D92" s="419"/>
      <c r="E92" s="420"/>
      <c r="F92" s="420"/>
      <c r="G92" s="420"/>
      <c r="H92" s="420"/>
      <c r="I92" s="421"/>
      <c r="J92" s="427"/>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31"/>
      <c r="AS92" s="432"/>
      <c r="AT92" s="125"/>
      <c r="AU92" s="130" t="b">
        <v>0</v>
      </c>
      <c r="AV92" s="126" t="str">
        <f>IF(AU92,"OK","必須")</f>
        <v>必須</v>
      </c>
    </row>
    <row r="93" spans="1:48" ht="12.75" thickBot="1" x14ac:dyDescent="0.2">
      <c r="A93" s="125"/>
      <c r="B93" s="414"/>
      <c r="C93" s="415"/>
      <c r="D93" s="422"/>
      <c r="E93" s="423"/>
      <c r="F93" s="423"/>
      <c r="G93" s="423"/>
      <c r="H93" s="423"/>
      <c r="I93" s="424"/>
      <c r="J93" s="429"/>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1"/>
      <c r="AS93" s="432"/>
      <c r="AT93" s="125"/>
      <c r="AU93" s="130"/>
    </row>
    <row r="94" spans="1:48" ht="12" customHeight="1" thickBot="1" x14ac:dyDescent="0.2">
      <c r="A94" s="125"/>
      <c r="B94" s="410" t="s">
        <v>258</v>
      </c>
      <c r="C94" s="411"/>
      <c r="D94" s="376" t="s">
        <v>380</v>
      </c>
      <c r="E94" s="417"/>
      <c r="F94" s="417"/>
      <c r="G94" s="417"/>
      <c r="H94" s="417"/>
      <c r="I94" s="418"/>
      <c r="J94" s="425" t="s">
        <v>381</v>
      </c>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31"/>
      <c r="AS94" s="432"/>
      <c r="AT94" s="125"/>
      <c r="AU94" s="130"/>
    </row>
    <row r="95" spans="1:48" ht="12" customHeight="1" thickBot="1" x14ac:dyDescent="0.2">
      <c r="A95" s="125"/>
      <c r="B95" s="412"/>
      <c r="C95" s="413"/>
      <c r="D95" s="419"/>
      <c r="E95" s="420"/>
      <c r="F95" s="420"/>
      <c r="G95" s="420"/>
      <c r="H95" s="420"/>
      <c r="I95" s="421"/>
      <c r="J95" s="427"/>
      <c r="K95" s="428"/>
      <c r="L95" s="428"/>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31"/>
      <c r="AS95" s="432"/>
      <c r="AT95" s="125"/>
      <c r="AU95" s="130"/>
    </row>
    <row r="96" spans="1:48" ht="12" customHeight="1" thickBot="1" x14ac:dyDescent="0.2">
      <c r="A96" s="125"/>
      <c r="B96" s="412"/>
      <c r="C96" s="413"/>
      <c r="D96" s="419"/>
      <c r="E96" s="420"/>
      <c r="F96" s="420"/>
      <c r="G96" s="420"/>
      <c r="H96" s="420"/>
      <c r="I96" s="421"/>
      <c r="J96" s="427"/>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31"/>
      <c r="AS96" s="432"/>
      <c r="AT96" s="125"/>
      <c r="AU96" s="130" t="b">
        <v>0</v>
      </c>
      <c r="AV96" s="126" t="str">
        <f>IF(AU96,"OK","必須")</f>
        <v>必須</v>
      </c>
    </row>
    <row r="97" spans="1:48" ht="12.75" thickBot="1" x14ac:dyDescent="0.2">
      <c r="A97" s="125"/>
      <c r="B97" s="412"/>
      <c r="C97" s="413"/>
      <c r="D97" s="419"/>
      <c r="E97" s="420"/>
      <c r="F97" s="420"/>
      <c r="G97" s="420"/>
      <c r="H97" s="420"/>
      <c r="I97" s="421"/>
      <c r="J97" s="427"/>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31"/>
      <c r="AS97" s="432"/>
      <c r="AT97" s="125"/>
      <c r="AU97" s="130"/>
    </row>
    <row r="98" spans="1:48" ht="12.75" thickBot="1" x14ac:dyDescent="0.2">
      <c r="A98" s="125"/>
      <c r="B98" s="414"/>
      <c r="C98" s="415"/>
      <c r="D98" s="422"/>
      <c r="E98" s="423"/>
      <c r="F98" s="423"/>
      <c r="G98" s="423"/>
      <c r="H98" s="423"/>
      <c r="I98" s="424"/>
      <c r="J98" s="429"/>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1"/>
      <c r="AS98" s="432"/>
      <c r="AT98" s="125"/>
      <c r="AU98" s="130"/>
    </row>
    <row r="99" spans="1:48" ht="21" customHeight="1" thickBot="1" x14ac:dyDescent="0.2">
      <c r="A99" s="125"/>
      <c r="B99" s="410" t="s">
        <v>260</v>
      </c>
      <c r="C99" s="411"/>
      <c r="D99" s="376" t="s">
        <v>380</v>
      </c>
      <c r="E99" s="417"/>
      <c r="F99" s="417"/>
      <c r="G99" s="417"/>
      <c r="H99" s="417"/>
      <c r="I99" s="418"/>
      <c r="J99" s="425" t="s">
        <v>382</v>
      </c>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426"/>
      <c r="AM99" s="426"/>
      <c r="AN99" s="426"/>
      <c r="AO99" s="426"/>
      <c r="AP99" s="426"/>
      <c r="AQ99" s="426"/>
      <c r="AR99" s="431"/>
      <c r="AS99" s="432"/>
      <c r="AT99" s="125"/>
      <c r="AU99" s="130"/>
    </row>
    <row r="100" spans="1:48" ht="21" customHeight="1" thickBot="1" x14ac:dyDescent="0.2">
      <c r="A100" s="125"/>
      <c r="B100" s="412"/>
      <c r="C100" s="413"/>
      <c r="D100" s="419"/>
      <c r="E100" s="420"/>
      <c r="F100" s="420"/>
      <c r="G100" s="420"/>
      <c r="H100" s="420"/>
      <c r="I100" s="421"/>
      <c r="J100" s="427"/>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8"/>
      <c r="AK100" s="428"/>
      <c r="AL100" s="428"/>
      <c r="AM100" s="428"/>
      <c r="AN100" s="428"/>
      <c r="AO100" s="428"/>
      <c r="AP100" s="428"/>
      <c r="AQ100" s="428"/>
      <c r="AR100" s="431"/>
      <c r="AS100" s="432"/>
      <c r="AT100" s="125"/>
      <c r="AU100" s="130"/>
    </row>
    <row r="101" spans="1:48" ht="21" customHeight="1" thickBot="1" x14ac:dyDescent="0.2">
      <c r="A101" s="125"/>
      <c r="B101" s="412"/>
      <c r="C101" s="413"/>
      <c r="D101" s="419"/>
      <c r="E101" s="420"/>
      <c r="F101" s="420"/>
      <c r="G101" s="420"/>
      <c r="H101" s="420"/>
      <c r="I101" s="421"/>
      <c r="J101" s="427"/>
      <c r="K101" s="428"/>
      <c r="L101" s="428"/>
      <c r="M101" s="428"/>
      <c r="N101" s="428"/>
      <c r="O101" s="428"/>
      <c r="P101" s="428"/>
      <c r="Q101" s="428"/>
      <c r="R101" s="428"/>
      <c r="S101" s="428"/>
      <c r="T101" s="428"/>
      <c r="U101" s="428"/>
      <c r="V101" s="428"/>
      <c r="W101" s="428"/>
      <c r="X101" s="428"/>
      <c r="Y101" s="428"/>
      <c r="Z101" s="428"/>
      <c r="AA101" s="428"/>
      <c r="AB101" s="428"/>
      <c r="AC101" s="428"/>
      <c r="AD101" s="428"/>
      <c r="AE101" s="428"/>
      <c r="AF101" s="428"/>
      <c r="AG101" s="428"/>
      <c r="AH101" s="428"/>
      <c r="AI101" s="428"/>
      <c r="AJ101" s="428"/>
      <c r="AK101" s="428"/>
      <c r="AL101" s="428"/>
      <c r="AM101" s="428"/>
      <c r="AN101" s="428"/>
      <c r="AO101" s="428"/>
      <c r="AP101" s="428"/>
      <c r="AQ101" s="428"/>
      <c r="AR101" s="431"/>
      <c r="AS101" s="432"/>
      <c r="AT101" s="125"/>
      <c r="AU101" s="130"/>
    </row>
    <row r="102" spans="1:48" ht="21" customHeight="1" thickBot="1" x14ac:dyDescent="0.2">
      <c r="A102" s="125"/>
      <c r="B102" s="412"/>
      <c r="C102" s="413"/>
      <c r="D102" s="419"/>
      <c r="E102" s="420"/>
      <c r="F102" s="420"/>
      <c r="G102" s="420"/>
      <c r="H102" s="420"/>
      <c r="I102" s="421"/>
      <c r="J102" s="427"/>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8"/>
      <c r="AI102" s="428"/>
      <c r="AJ102" s="428"/>
      <c r="AK102" s="428"/>
      <c r="AL102" s="428"/>
      <c r="AM102" s="428"/>
      <c r="AN102" s="428"/>
      <c r="AO102" s="428"/>
      <c r="AP102" s="428"/>
      <c r="AQ102" s="428"/>
      <c r="AR102" s="431"/>
      <c r="AS102" s="432"/>
      <c r="AT102" s="125"/>
      <c r="AU102" s="130" t="b">
        <v>0</v>
      </c>
      <c r="AV102" s="126" t="str">
        <f>IF(AU102,"OK","必須")</f>
        <v>必須</v>
      </c>
    </row>
    <row r="103" spans="1:48" ht="21" customHeight="1" thickBot="1" x14ac:dyDescent="0.2">
      <c r="A103" s="125"/>
      <c r="B103" s="414"/>
      <c r="C103" s="415"/>
      <c r="D103" s="422"/>
      <c r="E103" s="423"/>
      <c r="F103" s="423"/>
      <c r="G103" s="423"/>
      <c r="H103" s="423"/>
      <c r="I103" s="424"/>
      <c r="J103" s="429"/>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430"/>
      <c r="AR103" s="431"/>
      <c r="AS103" s="432"/>
      <c r="AT103" s="125"/>
      <c r="AU103" s="130"/>
    </row>
    <row r="104" spans="1:48" ht="12" customHeight="1" thickBot="1" x14ac:dyDescent="0.2">
      <c r="A104" s="125"/>
      <c r="B104" s="410" t="s">
        <v>261</v>
      </c>
      <c r="C104" s="411"/>
      <c r="D104" s="376" t="s">
        <v>383</v>
      </c>
      <c r="E104" s="377"/>
      <c r="F104" s="377"/>
      <c r="G104" s="377"/>
      <c r="H104" s="377"/>
      <c r="I104" s="378"/>
      <c r="J104" s="425" t="s">
        <v>384</v>
      </c>
      <c r="K104" s="426"/>
      <c r="L104" s="426"/>
      <c r="M104" s="426"/>
      <c r="N104" s="426"/>
      <c r="O104" s="426"/>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426"/>
      <c r="AM104" s="426"/>
      <c r="AN104" s="426"/>
      <c r="AO104" s="426"/>
      <c r="AP104" s="426"/>
      <c r="AQ104" s="426"/>
      <c r="AR104" s="431"/>
      <c r="AS104" s="432"/>
      <c r="AT104" s="125"/>
      <c r="AU104" s="130"/>
    </row>
    <row r="105" spans="1:48" ht="12.75" thickBot="1" x14ac:dyDescent="0.2">
      <c r="A105" s="125"/>
      <c r="B105" s="412"/>
      <c r="C105" s="413"/>
      <c r="D105" s="379"/>
      <c r="E105" s="380"/>
      <c r="F105" s="380"/>
      <c r="G105" s="380"/>
      <c r="H105" s="380"/>
      <c r="I105" s="381"/>
      <c r="J105" s="427"/>
      <c r="K105" s="428"/>
      <c r="L105" s="428"/>
      <c r="M105" s="428"/>
      <c r="N105" s="428"/>
      <c r="O105" s="428"/>
      <c r="P105" s="428"/>
      <c r="Q105" s="428"/>
      <c r="R105" s="428"/>
      <c r="S105" s="428"/>
      <c r="T105" s="428"/>
      <c r="U105" s="428"/>
      <c r="V105" s="428"/>
      <c r="W105" s="428"/>
      <c r="X105" s="428"/>
      <c r="Y105" s="428"/>
      <c r="Z105" s="428"/>
      <c r="AA105" s="428"/>
      <c r="AB105" s="428"/>
      <c r="AC105" s="428"/>
      <c r="AD105" s="428"/>
      <c r="AE105" s="428"/>
      <c r="AF105" s="428"/>
      <c r="AG105" s="428"/>
      <c r="AH105" s="428"/>
      <c r="AI105" s="428"/>
      <c r="AJ105" s="428"/>
      <c r="AK105" s="428"/>
      <c r="AL105" s="428"/>
      <c r="AM105" s="428"/>
      <c r="AN105" s="428"/>
      <c r="AO105" s="428"/>
      <c r="AP105" s="428"/>
      <c r="AQ105" s="428"/>
      <c r="AR105" s="431"/>
      <c r="AS105" s="432"/>
      <c r="AT105" s="125"/>
      <c r="AU105" s="130" t="b">
        <v>0</v>
      </c>
      <c r="AV105" s="126" t="str">
        <f>IF(AU105,"OK","必須")</f>
        <v>必須</v>
      </c>
    </row>
    <row r="106" spans="1:48" ht="12.75" thickBot="1" x14ac:dyDescent="0.2">
      <c r="A106" s="125"/>
      <c r="B106" s="414"/>
      <c r="C106" s="415"/>
      <c r="D106" s="382"/>
      <c r="E106" s="383"/>
      <c r="F106" s="383"/>
      <c r="G106" s="383"/>
      <c r="H106" s="383"/>
      <c r="I106" s="384"/>
      <c r="J106" s="429"/>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1"/>
      <c r="AS106" s="432"/>
      <c r="AT106" s="125"/>
      <c r="AU106" s="130"/>
    </row>
    <row r="107" spans="1:48" ht="12" customHeight="1" thickBot="1" x14ac:dyDescent="0.2">
      <c r="A107" s="125"/>
      <c r="B107" s="410" t="s">
        <v>262</v>
      </c>
      <c r="C107" s="411"/>
      <c r="D107" s="376" t="s">
        <v>383</v>
      </c>
      <c r="E107" s="377"/>
      <c r="F107" s="377"/>
      <c r="G107" s="377"/>
      <c r="H107" s="377"/>
      <c r="I107" s="378"/>
      <c r="J107" s="425" t="s">
        <v>385</v>
      </c>
      <c r="K107" s="426"/>
      <c r="L107" s="426"/>
      <c r="M107" s="426"/>
      <c r="N107" s="426"/>
      <c r="O107" s="426"/>
      <c r="P107" s="426"/>
      <c r="Q107" s="426"/>
      <c r="R107" s="426"/>
      <c r="S107" s="426"/>
      <c r="T107" s="426"/>
      <c r="U107" s="426"/>
      <c r="V107" s="426"/>
      <c r="W107" s="426"/>
      <c r="X107" s="426"/>
      <c r="Y107" s="426"/>
      <c r="Z107" s="426"/>
      <c r="AA107" s="426"/>
      <c r="AB107" s="426"/>
      <c r="AC107" s="426"/>
      <c r="AD107" s="426"/>
      <c r="AE107" s="426"/>
      <c r="AF107" s="426"/>
      <c r="AG107" s="426"/>
      <c r="AH107" s="426"/>
      <c r="AI107" s="426"/>
      <c r="AJ107" s="426"/>
      <c r="AK107" s="426"/>
      <c r="AL107" s="426"/>
      <c r="AM107" s="426"/>
      <c r="AN107" s="426"/>
      <c r="AO107" s="426"/>
      <c r="AP107" s="426"/>
      <c r="AQ107" s="426"/>
      <c r="AR107" s="431"/>
      <c r="AS107" s="432"/>
      <c r="AT107" s="125"/>
      <c r="AU107" s="130"/>
    </row>
    <row r="108" spans="1:48" ht="12.75" thickBot="1" x14ac:dyDescent="0.2">
      <c r="A108" s="125"/>
      <c r="B108" s="412"/>
      <c r="C108" s="413"/>
      <c r="D108" s="379"/>
      <c r="E108" s="380"/>
      <c r="F108" s="380"/>
      <c r="G108" s="380"/>
      <c r="H108" s="380"/>
      <c r="I108" s="381"/>
      <c r="J108" s="427"/>
      <c r="K108" s="428"/>
      <c r="L108" s="428"/>
      <c r="M108" s="428"/>
      <c r="N108" s="428"/>
      <c r="O108" s="428"/>
      <c r="P108" s="428"/>
      <c r="Q108" s="428"/>
      <c r="R108" s="428"/>
      <c r="S108" s="428"/>
      <c r="T108" s="428"/>
      <c r="U108" s="428"/>
      <c r="V108" s="428"/>
      <c r="W108" s="428"/>
      <c r="X108" s="428"/>
      <c r="Y108" s="428"/>
      <c r="Z108" s="428"/>
      <c r="AA108" s="428"/>
      <c r="AB108" s="428"/>
      <c r="AC108" s="428"/>
      <c r="AD108" s="428"/>
      <c r="AE108" s="428"/>
      <c r="AF108" s="428"/>
      <c r="AG108" s="428"/>
      <c r="AH108" s="428"/>
      <c r="AI108" s="428"/>
      <c r="AJ108" s="428"/>
      <c r="AK108" s="428"/>
      <c r="AL108" s="428"/>
      <c r="AM108" s="428"/>
      <c r="AN108" s="428"/>
      <c r="AO108" s="428"/>
      <c r="AP108" s="428"/>
      <c r="AQ108" s="428"/>
      <c r="AR108" s="431"/>
      <c r="AS108" s="432"/>
      <c r="AT108" s="125"/>
      <c r="AU108" s="130" t="b">
        <v>0</v>
      </c>
      <c r="AV108" s="126" t="str">
        <f>IF(AU108,"OK","必須")</f>
        <v>必須</v>
      </c>
    </row>
    <row r="109" spans="1:48" ht="12.75" thickBot="1" x14ac:dyDescent="0.2">
      <c r="A109" s="125"/>
      <c r="B109" s="414"/>
      <c r="C109" s="415"/>
      <c r="D109" s="382"/>
      <c r="E109" s="383"/>
      <c r="F109" s="383"/>
      <c r="G109" s="383"/>
      <c r="H109" s="383"/>
      <c r="I109" s="384"/>
      <c r="J109" s="429"/>
      <c r="K109" s="430"/>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0"/>
      <c r="AR109" s="431"/>
      <c r="AS109" s="432"/>
      <c r="AT109" s="125"/>
      <c r="AU109" s="130"/>
    </row>
    <row r="110" spans="1:48" ht="14.25" customHeight="1" x14ac:dyDescent="0.15">
      <c r="A110" s="125"/>
      <c r="B110" s="410" t="s">
        <v>263</v>
      </c>
      <c r="C110" s="411"/>
      <c r="D110" s="376" t="s">
        <v>386</v>
      </c>
      <c r="E110" s="417"/>
      <c r="F110" s="417"/>
      <c r="G110" s="417"/>
      <c r="H110" s="417"/>
      <c r="I110" s="418"/>
      <c r="J110" s="425" t="s">
        <v>387</v>
      </c>
      <c r="K110" s="426"/>
      <c r="L110" s="426"/>
      <c r="M110" s="426"/>
      <c r="N110" s="426"/>
      <c r="O110" s="426"/>
      <c r="P110" s="426"/>
      <c r="Q110" s="426"/>
      <c r="R110" s="426"/>
      <c r="S110" s="426"/>
      <c r="T110" s="426"/>
      <c r="U110" s="426"/>
      <c r="V110" s="426"/>
      <c r="W110" s="426"/>
      <c r="X110" s="426"/>
      <c r="Y110" s="426"/>
      <c r="Z110" s="426"/>
      <c r="AA110" s="426"/>
      <c r="AB110" s="426"/>
      <c r="AC110" s="426"/>
      <c r="AD110" s="426"/>
      <c r="AE110" s="426"/>
      <c r="AF110" s="426"/>
      <c r="AG110" s="426"/>
      <c r="AH110" s="426"/>
      <c r="AI110" s="426"/>
      <c r="AJ110" s="426"/>
      <c r="AK110" s="426"/>
      <c r="AL110" s="426"/>
      <c r="AM110" s="426"/>
      <c r="AN110" s="426"/>
      <c r="AO110" s="426"/>
      <c r="AP110" s="426"/>
      <c r="AQ110" s="426"/>
      <c r="AR110" s="443"/>
      <c r="AS110" s="444"/>
      <c r="AT110" s="125"/>
      <c r="AU110" s="130"/>
    </row>
    <row r="111" spans="1:48" ht="22.5" customHeight="1" x14ac:dyDescent="0.15">
      <c r="A111" s="125"/>
      <c r="B111" s="412"/>
      <c r="C111" s="413"/>
      <c r="D111" s="419"/>
      <c r="E111" s="420"/>
      <c r="F111" s="420"/>
      <c r="G111" s="420"/>
      <c r="H111" s="420"/>
      <c r="I111" s="421"/>
      <c r="J111" s="427"/>
      <c r="K111" s="428"/>
      <c r="L111" s="428"/>
      <c r="M111" s="428"/>
      <c r="N111" s="428"/>
      <c r="O111" s="428"/>
      <c r="P111" s="428"/>
      <c r="Q111" s="428"/>
      <c r="R111" s="428"/>
      <c r="S111" s="428"/>
      <c r="T111" s="428"/>
      <c r="U111" s="428"/>
      <c r="V111" s="428"/>
      <c r="W111" s="428"/>
      <c r="X111" s="428"/>
      <c r="Y111" s="428"/>
      <c r="Z111" s="428"/>
      <c r="AA111" s="428"/>
      <c r="AB111" s="428"/>
      <c r="AC111" s="428"/>
      <c r="AD111" s="428"/>
      <c r="AE111" s="428"/>
      <c r="AF111" s="428"/>
      <c r="AG111" s="428"/>
      <c r="AH111" s="428"/>
      <c r="AI111" s="428"/>
      <c r="AJ111" s="428"/>
      <c r="AK111" s="428"/>
      <c r="AL111" s="428"/>
      <c r="AM111" s="428"/>
      <c r="AN111" s="428"/>
      <c r="AO111" s="428"/>
      <c r="AP111" s="428"/>
      <c r="AQ111" s="428"/>
      <c r="AR111" s="445"/>
      <c r="AS111" s="446"/>
      <c r="AT111" s="125"/>
      <c r="AU111" s="130" t="b">
        <v>0</v>
      </c>
      <c r="AV111" s="126" t="str">
        <f>IF(AU111,"OK","必須")</f>
        <v>必須</v>
      </c>
    </row>
    <row r="112" spans="1:48" ht="28.5" customHeight="1" x14ac:dyDescent="0.15">
      <c r="A112" s="125"/>
      <c r="B112" s="412"/>
      <c r="C112" s="413"/>
      <c r="D112" s="419"/>
      <c r="E112" s="420"/>
      <c r="F112" s="420"/>
      <c r="G112" s="420"/>
      <c r="H112" s="420"/>
      <c r="I112" s="421"/>
      <c r="J112" s="427"/>
      <c r="K112" s="428"/>
      <c r="L112" s="428"/>
      <c r="M112" s="428"/>
      <c r="N112" s="428"/>
      <c r="O112" s="428"/>
      <c r="P112" s="428"/>
      <c r="Q112" s="428"/>
      <c r="R112" s="428"/>
      <c r="S112" s="428"/>
      <c r="T112" s="428"/>
      <c r="U112" s="428"/>
      <c r="V112" s="428"/>
      <c r="W112" s="428"/>
      <c r="X112" s="428"/>
      <c r="Y112" s="428"/>
      <c r="Z112" s="428"/>
      <c r="AA112" s="428"/>
      <c r="AB112" s="428"/>
      <c r="AC112" s="428"/>
      <c r="AD112" s="428"/>
      <c r="AE112" s="428"/>
      <c r="AF112" s="428"/>
      <c r="AG112" s="428"/>
      <c r="AH112" s="428"/>
      <c r="AI112" s="428"/>
      <c r="AJ112" s="428"/>
      <c r="AK112" s="428"/>
      <c r="AL112" s="428"/>
      <c r="AM112" s="428"/>
      <c r="AN112" s="428"/>
      <c r="AO112" s="428"/>
      <c r="AP112" s="428"/>
      <c r="AQ112" s="428"/>
      <c r="AR112" s="445"/>
      <c r="AS112" s="446"/>
      <c r="AT112" s="125"/>
      <c r="AU112" s="130"/>
    </row>
    <row r="113" spans="1:48" ht="33" customHeight="1" x14ac:dyDescent="0.15">
      <c r="A113" s="125"/>
      <c r="B113" s="412"/>
      <c r="C113" s="413"/>
      <c r="D113" s="419"/>
      <c r="E113" s="420"/>
      <c r="F113" s="420"/>
      <c r="G113" s="420"/>
      <c r="H113" s="420"/>
      <c r="I113" s="421"/>
      <c r="J113" s="427"/>
      <c r="K113" s="428"/>
      <c r="L113" s="428"/>
      <c r="M113" s="428"/>
      <c r="N113" s="428"/>
      <c r="O113" s="428"/>
      <c r="P113" s="428"/>
      <c r="Q113" s="428"/>
      <c r="R113" s="428"/>
      <c r="S113" s="428"/>
      <c r="T113" s="428"/>
      <c r="U113" s="428"/>
      <c r="V113" s="428"/>
      <c r="W113" s="428"/>
      <c r="X113" s="428"/>
      <c r="Y113" s="428"/>
      <c r="Z113" s="428"/>
      <c r="AA113" s="428"/>
      <c r="AB113" s="428"/>
      <c r="AC113" s="428"/>
      <c r="AD113" s="428"/>
      <c r="AE113" s="428"/>
      <c r="AF113" s="428"/>
      <c r="AG113" s="428"/>
      <c r="AH113" s="428"/>
      <c r="AI113" s="428"/>
      <c r="AJ113" s="428"/>
      <c r="AK113" s="428"/>
      <c r="AL113" s="428"/>
      <c r="AM113" s="428"/>
      <c r="AN113" s="428"/>
      <c r="AO113" s="428"/>
      <c r="AP113" s="428"/>
      <c r="AQ113" s="428"/>
      <c r="AR113" s="445"/>
      <c r="AS113" s="446"/>
      <c r="AT113" s="125"/>
      <c r="AU113" s="130"/>
      <c r="AV113" s="126"/>
    </row>
    <row r="114" spans="1:48" ht="21.95" customHeight="1" thickBot="1" x14ac:dyDescent="0.2">
      <c r="A114" s="125"/>
      <c r="B114" s="414"/>
      <c r="C114" s="415"/>
      <c r="D114" s="422"/>
      <c r="E114" s="423"/>
      <c r="F114" s="423"/>
      <c r="G114" s="423"/>
      <c r="H114" s="423"/>
      <c r="I114" s="424"/>
      <c r="J114" s="429"/>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430"/>
      <c r="AJ114" s="430"/>
      <c r="AK114" s="430"/>
      <c r="AL114" s="430"/>
      <c r="AM114" s="430"/>
      <c r="AN114" s="430"/>
      <c r="AO114" s="430"/>
      <c r="AP114" s="430"/>
      <c r="AQ114" s="430"/>
      <c r="AR114" s="447"/>
      <c r="AS114" s="448"/>
      <c r="AT114" s="125"/>
      <c r="AU114" s="130"/>
    </row>
    <row r="115" spans="1:48" ht="14.25" customHeight="1" x14ac:dyDescent="0.15">
      <c r="A115" s="125"/>
      <c r="B115" s="410" t="s">
        <v>264</v>
      </c>
      <c r="C115" s="411"/>
      <c r="D115" s="376" t="s">
        <v>388</v>
      </c>
      <c r="E115" s="417"/>
      <c r="F115" s="417"/>
      <c r="G115" s="417"/>
      <c r="H115" s="417"/>
      <c r="I115" s="418"/>
      <c r="J115" s="425" t="s">
        <v>389</v>
      </c>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426"/>
      <c r="AM115" s="426"/>
      <c r="AN115" s="426"/>
      <c r="AO115" s="426"/>
      <c r="AP115" s="426"/>
      <c r="AQ115" s="426"/>
      <c r="AR115" s="443"/>
      <c r="AS115" s="444"/>
      <c r="AT115" s="125"/>
      <c r="AU115" s="130"/>
    </row>
    <row r="116" spans="1:48" ht="29.1" customHeight="1" x14ac:dyDescent="0.15">
      <c r="A116" s="125"/>
      <c r="B116" s="412"/>
      <c r="C116" s="413"/>
      <c r="D116" s="419"/>
      <c r="E116" s="420"/>
      <c r="F116" s="420"/>
      <c r="G116" s="420"/>
      <c r="H116" s="420"/>
      <c r="I116" s="421"/>
      <c r="J116" s="427"/>
      <c r="K116" s="428"/>
      <c r="L116" s="428"/>
      <c r="M116" s="428"/>
      <c r="N116" s="428"/>
      <c r="O116" s="428"/>
      <c r="P116" s="428"/>
      <c r="Q116" s="428"/>
      <c r="R116" s="428"/>
      <c r="S116" s="428"/>
      <c r="T116" s="428"/>
      <c r="U116" s="428"/>
      <c r="V116" s="428"/>
      <c r="W116" s="428"/>
      <c r="X116" s="428"/>
      <c r="Y116" s="428"/>
      <c r="Z116" s="428"/>
      <c r="AA116" s="428"/>
      <c r="AB116" s="428"/>
      <c r="AC116" s="428"/>
      <c r="AD116" s="428"/>
      <c r="AE116" s="428"/>
      <c r="AF116" s="428"/>
      <c r="AG116" s="428"/>
      <c r="AH116" s="428"/>
      <c r="AI116" s="428"/>
      <c r="AJ116" s="428"/>
      <c r="AK116" s="428"/>
      <c r="AL116" s="428"/>
      <c r="AM116" s="428"/>
      <c r="AN116" s="428"/>
      <c r="AO116" s="428"/>
      <c r="AP116" s="428"/>
      <c r="AQ116" s="428"/>
      <c r="AR116" s="445"/>
      <c r="AS116" s="446"/>
      <c r="AT116" s="125"/>
      <c r="AU116" s="130" t="b">
        <v>0</v>
      </c>
      <c r="AV116" s="126" t="str">
        <f>IF(AU116,"OK","必須")</f>
        <v>必須</v>
      </c>
    </row>
    <row r="117" spans="1:48" ht="26.1" customHeight="1" x14ac:dyDescent="0.15">
      <c r="A117" s="125"/>
      <c r="B117" s="412"/>
      <c r="C117" s="413"/>
      <c r="D117" s="419"/>
      <c r="E117" s="420"/>
      <c r="F117" s="420"/>
      <c r="G117" s="420"/>
      <c r="H117" s="420"/>
      <c r="I117" s="421"/>
      <c r="J117" s="427"/>
      <c r="K117" s="428"/>
      <c r="L117" s="428"/>
      <c r="M117" s="428"/>
      <c r="N117" s="428"/>
      <c r="O117" s="428"/>
      <c r="P117" s="428"/>
      <c r="Q117" s="428"/>
      <c r="R117" s="428"/>
      <c r="S117" s="428"/>
      <c r="T117" s="428"/>
      <c r="U117" s="428"/>
      <c r="V117" s="428"/>
      <c r="W117" s="428"/>
      <c r="X117" s="428"/>
      <c r="Y117" s="428"/>
      <c r="Z117" s="428"/>
      <c r="AA117" s="428"/>
      <c r="AB117" s="428"/>
      <c r="AC117" s="428"/>
      <c r="AD117" s="428"/>
      <c r="AE117" s="428"/>
      <c r="AF117" s="428"/>
      <c r="AG117" s="428"/>
      <c r="AH117" s="428"/>
      <c r="AI117" s="428"/>
      <c r="AJ117" s="428"/>
      <c r="AK117" s="428"/>
      <c r="AL117" s="428"/>
      <c r="AM117" s="428"/>
      <c r="AN117" s="428"/>
      <c r="AO117" s="428"/>
      <c r="AP117" s="428"/>
      <c r="AQ117" s="428"/>
      <c r="AR117" s="445"/>
      <c r="AS117" s="446"/>
      <c r="AT117" s="125"/>
      <c r="AU117" s="130"/>
    </row>
    <row r="118" spans="1:48" ht="42" customHeight="1" x14ac:dyDescent="0.15">
      <c r="A118" s="125"/>
      <c r="B118" s="412"/>
      <c r="C118" s="413"/>
      <c r="D118" s="419"/>
      <c r="E118" s="420"/>
      <c r="F118" s="420"/>
      <c r="G118" s="420"/>
      <c r="H118" s="420"/>
      <c r="I118" s="421"/>
      <c r="J118" s="427"/>
      <c r="K118" s="428"/>
      <c r="L118" s="428"/>
      <c r="M118" s="428"/>
      <c r="N118" s="428"/>
      <c r="O118" s="428"/>
      <c r="P118" s="428"/>
      <c r="Q118" s="428"/>
      <c r="R118" s="428"/>
      <c r="S118" s="428"/>
      <c r="T118" s="428"/>
      <c r="U118" s="428"/>
      <c r="V118" s="428"/>
      <c r="W118" s="428"/>
      <c r="X118" s="428"/>
      <c r="Y118" s="428"/>
      <c r="Z118" s="428"/>
      <c r="AA118" s="428"/>
      <c r="AB118" s="428"/>
      <c r="AC118" s="428"/>
      <c r="AD118" s="428"/>
      <c r="AE118" s="428"/>
      <c r="AF118" s="428"/>
      <c r="AG118" s="428"/>
      <c r="AH118" s="428"/>
      <c r="AI118" s="428"/>
      <c r="AJ118" s="428"/>
      <c r="AK118" s="428"/>
      <c r="AL118" s="428"/>
      <c r="AM118" s="428"/>
      <c r="AN118" s="428"/>
      <c r="AO118" s="428"/>
      <c r="AP118" s="428"/>
      <c r="AQ118" s="428"/>
      <c r="AR118" s="445"/>
      <c r="AS118" s="446"/>
      <c r="AT118" s="125"/>
      <c r="AU118" s="130"/>
    </row>
    <row r="119" spans="1:48" ht="18.600000000000001" customHeight="1" thickBot="1" x14ac:dyDescent="0.2">
      <c r="A119" s="125"/>
      <c r="B119" s="414"/>
      <c r="C119" s="415"/>
      <c r="D119" s="422"/>
      <c r="E119" s="423"/>
      <c r="F119" s="423"/>
      <c r="G119" s="423"/>
      <c r="H119" s="423"/>
      <c r="I119" s="424"/>
      <c r="J119" s="429"/>
      <c r="K119" s="430"/>
      <c r="L119" s="430"/>
      <c r="M119" s="430"/>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0"/>
      <c r="AM119" s="430"/>
      <c r="AN119" s="430"/>
      <c r="AO119" s="430"/>
      <c r="AP119" s="430"/>
      <c r="AQ119" s="430"/>
      <c r="AR119" s="447"/>
      <c r="AS119" s="448"/>
      <c r="AT119" s="125"/>
      <c r="AU119" s="130"/>
    </row>
    <row r="120" spans="1:48" ht="18.600000000000001" customHeight="1" x14ac:dyDescent="0.15">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row>
    <row r="121" spans="1:48" ht="12" customHeight="1" x14ac:dyDescent="0.15">
      <c r="A121" s="280" t="s">
        <v>224</v>
      </c>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2"/>
    </row>
    <row r="122" spans="1:48" ht="12" customHeight="1" x14ac:dyDescent="0.15">
      <c r="A122" s="283"/>
      <c r="B122" s="284"/>
      <c r="C122" s="284"/>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5"/>
    </row>
    <row r="123" spans="1:48" x14ac:dyDescent="0.15">
      <c r="A123" s="286" t="str">
        <f>"【"&amp;製品カテゴリ&amp;"】"</f>
        <v>【AGV・AMR】</v>
      </c>
      <c r="B123" s="286"/>
      <c r="C123" s="286"/>
      <c r="D123" s="286"/>
      <c r="E123" s="286"/>
      <c r="F123" s="286"/>
      <c r="G123" s="286"/>
      <c r="H123" s="286"/>
      <c r="I123" s="286"/>
      <c r="J123" s="286"/>
      <c r="K123" s="286"/>
      <c r="L123" s="286"/>
      <c r="M123" s="286"/>
      <c r="N123" s="286"/>
      <c r="O123" s="286"/>
      <c r="P123" s="286"/>
      <c r="Q123" s="286"/>
      <c r="R123" s="286"/>
      <c r="S123" s="286"/>
      <c r="T123" s="286"/>
      <c r="U123" s="286"/>
      <c r="V123" s="286"/>
      <c r="W123" s="286"/>
      <c r="X123" s="125"/>
      <c r="Y123" s="125"/>
      <c r="Z123" s="125"/>
      <c r="AA123" s="125"/>
      <c r="AB123" s="125"/>
      <c r="AC123" s="125"/>
      <c r="AD123" s="125"/>
      <c r="AE123" s="125"/>
      <c r="AF123" s="125"/>
      <c r="AG123" s="125"/>
      <c r="AH123" s="125"/>
      <c r="AI123" s="125"/>
      <c r="AJ123" s="125"/>
      <c r="AK123" s="125"/>
      <c r="AL123" s="125"/>
      <c r="AM123" s="125"/>
      <c r="AN123" s="125"/>
      <c r="AO123" s="125"/>
      <c r="AP123" s="290" t="s">
        <v>390</v>
      </c>
      <c r="AQ123" s="290"/>
      <c r="AR123" s="290"/>
      <c r="AS123" s="290"/>
      <c r="AT123" s="290"/>
    </row>
    <row r="124" spans="1:48" x14ac:dyDescent="0.15">
      <c r="A124" s="287"/>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125"/>
      <c r="Y124" s="125"/>
      <c r="Z124" s="125"/>
      <c r="AA124" s="125"/>
      <c r="AB124" s="125"/>
      <c r="AC124" s="125"/>
      <c r="AD124" s="125"/>
      <c r="AE124" s="125"/>
      <c r="AF124" s="125"/>
      <c r="AG124" s="125"/>
      <c r="AH124" s="125"/>
      <c r="AI124" s="125"/>
      <c r="AJ124" s="125"/>
      <c r="AK124" s="125"/>
      <c r="AL124" s="125"/>
      <c r="AM124" s="125"/>
      <c r="AN124" s="125"/>
      <c r="AO124" s="125"/>
      <c r="AP124" s="291"/>
      <c r="AQ124" s="291"/>
      <c r="AR124" s="291"/>
      <c r="AS124" s="291"/>
      <c r="AT124" s="291"/>
    </row>
    <row r="125" spans="1:48" x14ac:dyDescent="0.15">
      <c r="A125" s="125"/>
      <c r="B125" s="293" t="s">
        <v>247</v>
      </c>
      <c r="C125" s="293"/>
      <c r="D125" s="293"/>
      <c r="E125" s="293"/>
      <c r="F125" s="293"/>
      <c r="G125" s="293"/>
      <c r="H125" s="293"/>
      <c r="I125" s="293"/>
      <c r="J125" s="293"/>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row>
    <row r="126" spans="1:48" x14ac:dyDescent="0.15">
      <c r="A126" s="125"/>
      <c r="B126" s="293"/>
      <c r="C126" s="293"/>
      <c r="D126" s="293"/>
      <c r="E126" s="293"/>
      <c r="F126" s="293"/>
      <c r="G126" s="293"/>
      <c r="H126" s="293"/>
      <c r="I126" s="293"/>
      <c r="J126" s="293"/>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row>
    <row r="127" spans="1:48" x14ac:dyDescent="0.15">
      <c r="A127" s="125"/>
      <c r="B127" s="293" t="s">
        <v>248</v>
      </c>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93"/>
      <c r="AN127" s="293"/>
      <c r="AO127" s="293"/>
      <c r="AP127" s="293"/>
      <c r="AQ127" s="293"/>
      <c r="AR127" s="293"/>
      <c r="AS127" s="293"/>
      <c r="AT127" s="125"/>
    </row>
    <row r="128" spans="1:48" ht="12.75" thickBot="1" x14ac:dyDescent="0.2">
      <c r="A128" s="125"/>
      <c r="B128" s="294"/>
      <c r="C128" s="294"/>
      <c r="D128" s="294"/>
      <c r="E128" s="294"/>
      <c r="F128" s="294"/>
      <c r="G128" s="29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4"/>
      <c r="AQ128" s="294"/>
      <c r="AR128" s="293"/>
      <c r="AS128" s="293"/>
      <c r="AT128" s="125"/>
    </row>
    <row r="129" spans="1:48" ht="12" customHeight="1" thickBot="1" x14ac:dyDescent="0.2">
      <c r="A129" s="125"/>
      <c r="B129" s="410" t="s">
        <v>265</v>
      </c>
      <c r="C129" s="411"/>
      <c r="D129" s="449" t="s">
        <v>259</v>
      </c>
      <c r="E129" s="450"/>
      <c r="F129" s="450"/>
      <c r="G129" s="450"/>
      <c r="H129" s="450"/>
      <c r="I129" s="451"/>
      <c r="J129" s="425" t="s">
        <v>391</v>
      </c>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31"/>
      <c r="AS129" s="432"/>
      <c r="AT129" s="125"/>
      <c r="AU129" s="130"/>
    </row>
    <row r="130" spans="1:48" ht="12.75" thickBot="1" x14ac:dyDescent="0.2">
      <c r="A130" s="125"/>
      <c r="B130" s="412"/>
      <c r="C130" s="413"/>
      <c r="D130" s="452"/>
      <c r="E130" s="453"/>
      <c r="F130" s="453"/>
      <c r="G130" s="453"/>
      <c r="H130" s="453"/>
      <c r="I130" s="454"/>
      <c r="J130" s="427"/>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31"/>
      <c r="AS130" s="432"/>
      <c r="AT130" s="125"/>
      <c r="AU130" s="130" t="b">
        <v>0</v>
      </c>
      <c r="AV130" s="126" t="str">
        <f>IF(AU130,"OK","必須")</f>
        <v>必須</v>
      </c>
    </row>
    <row r="131" spans="1:48" ht="12.75" thickBot="1" x14ac:dyDescent="0.2">
      <c r="A131" s="125"/>
      <c r="B131" s="414"/>
      <c r="C131" s="415"/>
      <c r="D131" s="455"/>
      <c r="E131" s="456"/>
      <c r="F131" s="456"/>
      <c r="G131" s="456"/>
      <c r="H131" s="456"/>
      <c r="I131" s="457"/>
      <c r="J131" s="429"/>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1"/>
      <c r="AS131" s="432"/>
      <c r="AT131" s="125"/>
      <c r="AU131" s="130"/>
    </row>
    <row r="132" spans="1:48" ht="12" customHeight="1" thickBot="1" x14ac:dyDescent="0.2">
      <c r="A132" s="125"/>
      <c r="B132" s="410" t="s">
        <v>266</v>
      </c>
      <c r="C132" s="411"/>
      <c r="D132" s="449" t="s">
        <v>259</v>
      </c>
      <c r="E132" s="450"/>
      <c r="F132" s="450"/>
      <c r="G132" s="450"/>
      <c r="H132" s="450"/>
      <c r="I132" s="451"/>
      <c r="J132" s="425" t="s">
        <v>392</v>
      </c>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31"/>
      <c r="AS132" s="432"/>
      <c r="AT132" s="125"/>
      <c r="AU132" s="130"/>
    </row>
    <row r="133" spans="1:48" ht="12.75" thickBot="1" x14ac:dyDescent="0.2">
      <c r="A133" s="125"/>
      <c r="B133" s="412"/>
      <c r="C133" s="413"/>
      <c r="D133" s="452"/>
      <c r="E133" s="453"/>
      <c r="F133" s="453"/>
      <c r="G133" s="453"/>
      <c r="H133" s="453"/>
      <c r="I133" s="454"/>
      <c r="J133" s="427"/>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31"/>
      <c r="AS133" s="432"/>
      <c r="AT133" s="125"/>
      <c r="AU133" s="130" t="b">
        <v>0</v>
      </c>
      <c r="AV133" s="126" t="str">
        <f>IF(AU133,"OK","必須")</f>
        <v>必須</v>
      </c>
    </row>
    <row r="134" spans="1:48" ht="12.75" thickBot="1" x14ac:dyDescent="0.2">
      <c r="A134" s="125"/>
      <c r="B134" s="414"/>
      <c r="C134" s="415"/>
      <c r="D134" s="455"/>
      <c r="E134" s="456"/>
      <c r="F134" s="456"/>
      <c r="G134" s="456"/>
      <c r="H134" s="456"/>
      <c r="I134" s="457"/>
      <c r="J134" s="429"/>
      <c r="K134" s="430"/>
      <c r="L134" s="430"/>
      <c r="M134" s="430"/>
      <c r="N134" s="430"/>
      <c r="O134" s="430"/>
      <c r="P134" s="430"/>
      <c r="Q134" s="430"/>
      <c r="R134" s="430"/>
      <c r="S134" s="430"/>
      <c r="T134" s="430"/>
      <c r="U134" s="430"/>
      <c r="V134" s="430"/>
      <c r="W134" s="430"/>
      <c r="X134" s="430"/>
      <c r="Y134" s="430"/>
      <c r="Z134" s="430"/>
      <c r="AA134" s="430"/>
      <c r="AB134" s="430"/>
      <c r="AC134" s="430"/>
      <c r="AD134" s="430"/>
      <c r="AE134" s="430"/>
      <c r="AF134" s="430"/>
      <c r="AG134" s="430"/>
      <c r="AH134" s="430"/>
      <c r="AI134" s="430"/>
      <c r="AJ134" s="430"/>
      <c r="AK134" s="430"/>
      <c r="AL134" s="430"/>
      <c r="AM134" s="430"/>
      <c r="AN134" s="430"/>
      <c r="AO134" s="430"/>
      <c r="AP134" s="430"/>
      <c r="AQ134" s="430"/>
      <c r="AR134" s="431"/>
      <c r="AS134" s="432"/>
      <c r="AT134" s="125"/>
      <c r="AU134" s="130"/>
    </row>
    <row r="135" spans="1:48" ht="12" customHeight="1" thickBot="1" x14ac:dyDescent="0.2">
      <c r="A135" s="125"/>
      <c r="B135" s="410" t="s">
        <v>285</v>
      </c>
      <c r="C135" s="411"/>
      <c r="D135" s="449" t="s">
        <v>259</v>
      </c>
      <c r="E135" s="450"/>
      <c r="F135" s="450"/>
      <c r="G135" s="450"/>
      <c r="H135" s="450"/>
      <c r="I135" s="451"/>
      <c r="J135" s="363" t="s">
        <v>393</v>
      </c>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431"/>
      <c r="AS135" s="432"/>
      <c r="AT135" s="125"/>
      <c r="AU135" s="130"/>
    </row>
    <row r="136" spans="1:48" ht="12.95" customHeight="1" thickBot="1" x14ac:dyDescent="0.2">
      <c r="A136" s="125"/>
      <c r="B136" s="412"/>
      <c r="C136" s="413"/>
      <c r="D136" s="452"/>
      <c r="E136" s="453"/>
      <c r="F136" s="453"/>
      <c r="G136" s="453"/>
      <c r="H136" s="453"/>
      <c r="I136" s="454"/>
      <c r="J136" s="458"/>
      <c r="K136" s="459"/>
      <c r="L136" s="459"/>
      <c r="M136" s="459"/>
      <c r="N136" s="459"/>
      <c r="O136" s="459"/>
      <c r="P136" s="459"/>
      <c r="Q136" s="459"/>
      <c r="R136" s="459"/>
      <c r="S136" s="459"/>
      <c r="T136" s="459"/>
      <c r="U136" s="459"/>
      <c r="V136" s="459"/>
      <c r="W136" s="459"/>
      <c r="X136" s="459"/>
      <c r="Y136" s="459"/>
      <c r="Z136" s="459"/>
      <c r="AA136" s="459"/>
      <c r="AB136" s="459"/>
      <c r="AC136" s="459"/>
      <c r="AD136" s="459"/>
      <c r="AE136" s="459"/>
      <c r="AF136" s="459"/>
      <c r="AG136" s="459"/>
      <c r="AH136" s="459"/>
      <c r="AI136" s="459"/>
      <c r="AJ136" s="459"/>
      <c r="AK136" s="459"/>
      <c r="AL136" s="459"/>
      <c r="AM136" s="459"/>
      <c r="AN136" s="459"/>
      <c r="AO136" s="459"/>
      <c r="AP136" s="459"/>
      <c r="AQ136" s="459"/>
      <c r="AR136" s="431"/>
      <c r="AS136" s="432"/>
      <c r="AT136" s="125"/>
      <c r="AU136" s="130" t="b">
        <v>0</v>
      </c>
      <c r="AV136" s="126" t="str">
        <f>IF(AU136,"OK","必須")</f>
        <v>必須</v>
      </c>
    </row>
    <row r="137" spans="1:48" ht="12.95" customHeight="1" thickBot="1" x14ac:dyDescent="0.2">
      <c r="A137" s="125"/>
      <c r="B137" s="414"/>
      <c r="C137" s="415"/>
      <c r="D137" s="455"/>
      <c r="E137" s="456"/>
      <c r="F137" s="456"/>
      <c r="G137" s="456"/>
      <c r="H137" s="456"/>
      <c r="I137" s="457"/>
      <c r="J137" s="366"/>
      <c r="K137" s="367"/>
      <c r="L137" s="367"/>
      <c r="M137" s="367"/>
      <c r="N137" s="367"/>
      <c r="O137" s="367"/>
      <c r="P137" s="367"/>
      <c r="Q137" s="367"/>
      <c r="R137" s="367"/>
      <c r="S137" s="367"/>
      <c r="T137" s="367"/>
      <c r="U137" s="367"/>
      <c r="V137" s="367"/>
      <c r="W137" s="367"/>
      <c r="X137" s="367"/>
      <c r="Y137" s="367"/>
      <c r="Z137" s="367"/>
      <c r="AA137" s="367"/>
      <c r="AB137" s="367"/>
      <c r="AC137" s="367"/>
      <c r="AD137" s="367"/>
      <c r="AE137" s="367"/>
      <c r="AF137" s="367"/>
      <c r="AG137" s="367"/>
      <c r="AH137" s="367"/>
      <c r="AI137" s="367"/>
      <c r="AJ137" s="367"/>
      <c r="AK137" s="367"/>
      <c r="AL137" s="367"/>
      <c r="AM137" s="367"/>
      <c r="AN137" s="367"/>
      <c r="AO137" s="367"/>
      <c r="AP137" s="367"/>
      <c r="AQ137" s="367"/>
      <c r="AR137" s="431"/>
      <c r="AS137" s="432"/>
      <c r="AT137" s="125"/>
      <c r="AU137" s="130"/>
    </row>
    <row r="138" spans="1:48" ht="12.95" customHeight="1" thickBot="1" x14ac:dyDescent="0.2">
      <c r="A138" s="125"/>
      <c r="B138" s="410" t="s">
        <v>286</v>
      </c>
      <c r="C138" s="411"/>
      <c r="D138" s="449" t="s">
        <v>259</v>
      </c>
      <c r="E138" s="450"/>
      <c r="F138" s="450"/>
      <c r="G138" s="450"/>
      <c r="H138" s="450"/>
      <c r="I138" s="451"/>
      <c r="J138" s="363" t="s">
        <v>394</v>
      </c>
      <c r="K138" s="364"/>
      <c r="L138" s="364"/>
      <c r="M138" s="364"/>
      <c r="N138" s="364"/>
      <c r="O138" s="364"/>
      <c r="P138" s="364"/>
      <c r="Q138" s="364"/>
      <c r="R138" s="364"/>
      <c r="S138" s="364"/>
      <c r="T138" s="364"/>
      <c r="U138" s="364"/>
      <c r="V138" s="364"/>
      <c r="W138" s="364"/>
      <c r="X138" s="364"/>
      <c r="Y138" s="364"/>
      <c r="Z138" s="364"/>
      <c r="AA138" s="364"/>
      <c r="AB138" s="364"/>
      <c r="AC138" s="364"/>
      <c r="AD138" s="364"/>
      <c r="AE138" s="364"/>
      <c r="AF138" s="364"/>
      <c r="AG138" s="364"/>
      <c r="AH138" s="364"/>
      <c r="AI138" s="364"/>
      <c r="AJ138" s="364"/>
      <c r="AK138" s="364"/>
      <c r="AL138" s="364"/>
      <c r="AM138" s="364"/>
      <c r="AN138" s="364"/>
      <c r="AO138" s="364"/>
      <c r="AP138" s="364"/>
      <c r="AQ138" s="364"/>
      <c r="AR138" s="431"/>
      <c r="AS138" s="432"/>
      <c r="AT138" s="125"/>
      <c r="AU138" s="130"/>
    </row>
    <row r="139" spans="1:48" ht="12.95" customHeight="1" thickBot="1" x14ac:dyDescent="0.2">
      <c r="A139" s="125"/>
      <c r="B139" s="412"/>
      <c r="C139" s="413"/>
      <c r="D139" s="452"/>
      <c r="E139" s="453"/>
      <c r="F139" s="453"/>
      <c r="G139" s="453"/>
      <c r="H139" s="453"/>
      <c r="I139" s="454"/>
      <c r="J139" s="458"/>
      <c r="K139" s="459"/>
      <c r="L139" s="459"/>
      <c r="M139" s="459"/>
      <c r="N139" s="459"/>
      <c r="O139" s="459"/>
      <c r="P139" s="459"/>
      <c r="Q139" s="459"/>
      <c r="R139" s="459"/>
      <c r="S139" s="459"/>
      <c r="T139" s="459"/>
      <c r="U139" s="459"/>
      <c r="V139" s="459"/>
      <c r="W139" s="459"/>
      <c r="X139" s="459"/>
      <c r="Y139" s="459"/>
      <c r="Z139" s="459"/>
      <c r="AA139" s="459"/>
      <c r="AB139" s="459"/>
      <c r="AC139" s="459"/>
      <c r="AD139" s="459"/>
      <c r="AE139" s="459"/>
      <c r="AF139" s="459"/>
      <c r="AG139" s="459"/>
      <c r="AH139" s="459"/>
      <c r="AI139" s="459"/>
      <c r="AJ139" s="459"/>
      <c r="AK139" s="459"/>
      <c r="AL139" s="459"/>
      <c r="AM139" s="459"/>
      <c r="AN139" s="459"/>
      <c r="AO139" s="459"/>
      <c r="AP139" s="459"/>
      <c r="AQ139" s="459"/>
      <c r="AR139" s="431"/>
      <c r="AS139" s="432"/>
      <c r="AT139" s="125"/>
      <c r="AU139" s="130" t="b">
        <v>0</v>
      </c>
      <c r="AV139" s="126" t="str">
        <f>IF(AU139,"OK","必須")</f>
        <v>必須</v>
      </c>
    </row>
    <row r="140" spans="1:48" ht="12.95" customHeight="1" thickBot="1" x14ac:dyDescent="0.2">
      <c r="A140" s="125"/>
      <c r="B140" s="414"/>
      <c r="C140" s="415"/>
      <c r="D140" s="455"/>
      <c r="E140" s="456"/>
      <c r="F140" s="456"/>
      <c r="G140" s="456"/>
      <c r="H140" s="456"/>
      <c r="I140" s="457"/>
      <c r="J140" s="366"/>
      <c r="K140" s="367"/>
      <c r="L140" s="367"/>
      <c r="M140" s="367"/>
      <c r="N140" s="367"/>
      <c r="O140" s="367"/>
      <c r="P140" s="367"/>
      <c r="Q140" s="367"/>
      <c r="R140" s="367"/>
      <c r="S140" s="367"/>
      <c r="T140" s="367"/>
      <c r="U140" s="367"/>
      <c r="V140" s="367"/>
      <c r="W140" s="367"/>
      <c r="X140" s="367"/>
      <c r="Y140" s="367"/>
      <c r="Z140" s="367"/>
      <c r="AA140" s="367"/>
      <c r="AB140" s="367"/>
      <c r="AC140" s="367"/>
      <c r="AD140" s="367"/>
      <c r="AE140" s="367"/>
      <c r="AF140" s="367"/>
      <c r="AG140" s="367"/>
      <c r="AH140" s="367"/>
      <c r="AI140" s="367"/>
      <c r="AJ140" s="367"/>
      <c r="AK140" s="367"/>
      <c r="AL140" s="367"/>
      <c r="AM140" s="367"/>
      <c r="AN140" s="367"/>
      <c r="AO140" s="367"/>
      <c r="AP140" s="367"/>
      <c r="AQ140" s="367"/>
      <c r="AR140" s="431"/>
      <c r="AS140" s="432"/>
      <c r="AT140" s="125"/>
      <c r="AU140" s="130"/>
    </row>
    <row r="141" spans="1:48" ht="12.95" customHeight="1" thickBot="1" x14ac:dyDescent="0.2">
      <c r="A141" s="125"/>
      <c r="B141" s="410" t="s">
        <v>395</v>
      </c>
      <c r="C141" s="411"/>
      <c r="D141" s="449" t="s">
        <v>259</v>
      </c>
      <c r="E141" s="450"/>
      <c r="F141" s="450"/>
      <c r="G141" s="450"/>
      <c r="H141" s="450"/>
      <c r="I141" s="451"/>
      <c r="J141" s="363" t="s">
        <v>396</v>
      </c>
      <c r="K141" s="364"/>
      <c r="L141" s="364"/>
      <c r="M141" s="364"/>
      <c r="N141" s="364"/>
      <c r="O141" s="364"/>
      <c r="P141" s="364"/>
      <c r="Q141" s="364"/>
      <c r="R141" s="364"/>
      <c r="S141" s="364"/>
      <c r="T141" s="364"/>
      <c r="U141" s="364"/>
      <c r="V141" s="364"/>
      <c r="W141" s="364"/>
      <c r="X141" s="364"/>
      <c r="Y141" s="364"/>
      <c r="Z141" s="364"/>
      <c r="AA141" s="364"/>
      <c r="AB141" s="364"/>
      <c r="AC141" s="364"/>
      <c r="AD141" s="364"/>
      <c r="AE141" s="364"/>
      <c r="AF141" s="364"/>
      <c r="AG141" s="364"/>
      <c r="AH141" s="364"/>
      <c r="AI141" s="364"/>
      <c r="AJ141" s="364"/>
      <c r="AK141" s="364"/>
      <c r="AL141" s="364"/>
      <c r="AM141" s="364"/>
      <c r="AN141" s="364"/>
      <c r="AO141" s="364"/>
      <c r="AP141" s="364"/>
      <c r="AQ141" s="364"/>
      <c r="AR141" s="431"/>
      <c r="AS141" s="432"/>
      <c r="AT141" s="125"/>
      <c r="AU141" s="130"/>
    </row>
    <row r="142" spans="1:48" ht="12.95" customHeight="1" thickBot="1" x14ac:dyDescent="0.2">
      <c r="A142" s="125"/>
      <c r="B142" s="412"/>
      <c r="C142" s="413"/>
      <c r="D142" s="452"/>
      <c r="E142" s="453"/>
      <c r="F142" s="453"/>
      <c r="G142" s="453"/>
      <c r="H142" s="453"/>
      <c r="I142" s="454"/>
      <c r="J142" s="458"/>
      <c r="K142" s="459"/>
      <c r="L142" s="459"/>
      <c r="M142" s="459"/>
      <c r="N142" s="459"/>
      <c r="O142" s="459"/>
      <c r="P142" s="459"/>
      <c r="Q142" s="459"/>
      <c r="R142" s="459"/>
      <c r="S142" s="459"/>
      <c r="T142" s="459"/>
      <c r="U142" s="459"/>
      <c r="V142" s="459"/>
      <c r="W142" s="459"/>
      <c r="X142" s="459"/>
      <c r="Y142" s="459"/>
      <c r="Z142" s="459"/>
      <c r="AA142" s="459"/>
      <c r="AB142" s="459"/>
      <c r="AC142" s="459"/>
      <c r="AD142" s="459"/>
      <c r="AE142" s="459"/>
      <c r="AF142" s="459"/>
      <c r="AG142" s="459"/>
      <c r="AH142" s="459"/>
      <c r="AI142" s="459"/>
      <c r="AJ142" s="459"/>
      <c r="AK142" s="459"/>
      <c r="AL142" s="459"/>
      <c r="AM142" s="459"/>
      <c r="AN142" s="459"/>
      <c r="AO142" s="459"/>
      <c r="AP142" s="459"/>
      <c r="AQ142" s="459"/>
      <c r="AR142" s="431"/>
      <c r="AS142" s="432"/>
      <c r="AT142" s="125"/>
      <c r="AU142" s="130" t="b">
        <v>0</v>
      </c>
      <c r="AV142" s="126" t="str">
        <f>IF(AU142,"OK","必須")</f>
        <v>必須</v>
      </c>
    </row>
    <row r="143" spans="1:48" ht="12.95" customHeight="1" thickBot="1" x14ac:dyDescent="0.2">
      <c r="A143" s="125"/>
      <c r="B143" s="414"/>
      <c r="C143" s="415"/>
      <c r="D143" s="455"/>
      <c r="E143" s="456"/>
      <c r="F143" s="456"/>
      <c r="G143" s="456"/>
      <c r="H143" s="456"/>
      <c r="I143" s="457"/>
      <c r="J143" s="366"/>
      <c r="K143" s="367"/>
      <c r="L143" s="367"/>
      <c r="M143" s="367"/>
      <c r="N143" s="367"/>
      <c r="O143" s="367"/>
      <c r="P143" s="367"/>
      <c r="Q143" s="367"/>
      <c r="R143" s="367"/>
      <c r="S143" s="367"/>
      <c r="T143" s="367"/>
      <c r="U143" s="367"/>
      <c r="V143" s="367"/>
      <c r="W143" s="367"/>
      <c r="X143" s="367"/>
      <c r="Y143" s="367"/>
      <c r="Z143" s="367"/>
      <c r="AA143" s="367"/>
      <c r="AB143" s="367"/>
      <c r="AC143" s="367"/>
      <c r="AD143" s="367"/>
      <c r="AE143" s="367"/>
      <c r="AF143" s="367"/>
      <c r="AG143" s="367"/>
      <c r="AH143" s="367"/>
      <c r="AI143" s="367"/>
      <c r="AJ143" s="367"/>
      <c r="AK143" s="367"/>
      <c r="AL143" s="367"/>
      <c r="AM143" s="367"/>
      <c r="AN143" s="367"/>
      <c r="AO143" s="367"/>
      <c r="AP143" s="367"/>
      <c r="AQ143" s="367"/>
      <c r="AR143" s="431"/>
      <c r="AS143" s="432"/>
      <c r="AT143" s="125"/>
      <c r="AU143" s="130"/>
    </row>
    <row r="144" spans="1:48" ht="12.95" customHeight="1" thickBot="1" x14ac:dyDescent="0.2">
      <c r="A144" s="125"/>
      <c r="B144" s="410" t="s">
        <v>397</v>
      </c>
      <c r="C144" s="411"/>
      <c r="D144" s="449" t="s">
        <v>259</v>
      </c>
      <c r="E144" s="450"/>
      <c r="F144" s="450"/>
      <c r="G144" s="450"/>
      <c r="H144" s="450"/>
      <c r="I144" s="451"/>
      <c r="J144" s="363" t="s">
        <v>398</v>
      </c>
      <c r="K144" s="364"/>
      <c r="L144" s="364"/>
      <c r="M144" s="364"/>
      <c r="N144" s="364"/>
      <c r="O144" s="364"/>
      <c r="P144" s="364"/>
      <c r="Q144" s="364"/>
      <c r="R144" s="364"/>
      <c r="S144" s="364"/>
      <c r="T144" s="364"/>
      <c r="U144" s="364"/>
      <c r="V144" s="364"/>
      <c r="W144" s="364"/>
      <c r="X144" s="364"/>
      <c r="Y144" s="364"/>
      <c r="Z144" s="364"/>
      <c r="AA144" s="364"/>
      <c r="AB144" s="364"/>
      <c r="AC144" s="364"/>
      <c r="AD144" s="364"/>
      <c r="AE144" s="364"/>
      <c r="AF144" s="364"/>
      <c r="AG144" s="364"/>
      <c r="AH144" s="364"/>
      <c r="AI144" s="364"/>
      <c r="AJ144" s="364"/>
      <c r="AK144" s="364"/>
      <c r="AL144" s="364"/>
      <c r="AM144" s="364"/>
      <c r="AN144" s="364"/>
      <c r="AO144" s="364"/>
      <c r="AP144" s="364"/>
      <c r="AQ144" s="364"/>
      <c r="AR144" s="431"/>
      <c r="AS144" s="432"/>
      <c r="AT144" s="125"/>
      <c r="AU144" s="130"/>
    </row>
    <row r="145" spans="1:48" ht="12.95" customHeight="1" thickBot="1" x14ac:dyDescent="0.2">
      <c r="A145" s="125"/>
      <c r="B145" s="412"/>
      <c r="C145" s="413"/>
      <c r="D145" s="452"/>
      <c r="E145" s="453"/>
      <c r="F145" s="453"/>
      <c r="G145" s="453"/>
      <c r="H145" s="453"/>
      <c r="I145" s="454"/>
      <c r="J145" s="458"/>
      <c r="K145" s="459"/>
      <c r="L145" s="459"/>
      <c r="M145" s="459"/>
      <c r="N145" s="459"/>
      <c r="O145" s="459"/>
      <c r="P145" s="459"/>
      <c r="Q145" s="459"/>
      <c r="R145" s="459"/>
      <c r="S145" s="459"/>
      <c r="T145" s="459"/>
      <c r="U145" s="459"/>
      <c r="V145" s="459"/>
      <c r="W145" s="459"/>
      <c r="X145" s="459"/>
      <c r="Y145" s="459"/>
      <c r="Z145" s="459"/>
      <c r="AA145" s="459"/>
      <c r="AB145" s="459"/>
      <c r="AC145" s="459"/>
      <c r="AD145" s="459"/>
      <c r="AE145" s="459"/>
      <c r="AF145" s="459"/>
      <c r="AG145" s="459"/>
      <c r="AH145" s="459"/>
      <c r="AI145" s="459"/>
      <c r="AJ145" s="459"/>
      <c r="AK145" s="459"/>
      <c r="AL145" s="459"/>
      <c r="AM145" s="459"/>
      <c r="AN145" s="459"/>
      <c r="AO145" s="459"/>
      <c r="AP145" s="459"/>
      <c r="AQ145" s="459"/>
      <c r="AR145" s="431"/>
      <c r="AS145" s="432"/>
      <c r="AT145" s="125"/>
      <c r="AU145" s="130" t="b">
        <v>0</v>
      </c>
      <c r="AV145" s="126" t="str">
        <f>IF(AU145,"OK","必須")</f>
        <v>必須</v>
      </c>
    </row>
    <row r="146" spans="1:48" ht="12.95" customHeight="1" thickBot="1" x14ac:dyDescent="0.2">
      <c r="A146" s="125"/>
      <c r="B146" s="414"/>
      <c r="C146" s="415"/>
      <c r="D146" s="455"/>
      <c r="E146" s="456"/>
      <c r="F146" s="456"/>
      <c r="G146" s="456"/>
      <c r="H146" s="456"/>
      <c r="I146" s="457"/>
      <c r="J146" s="366"/>
      <c r="K146" s="367"/>
      <c r="L146" s="367"/>
      <c r="M146" s="367"/>
      <c r="N146" s="367"/>
      <c r="O146" s="367"/>
      <c r="P146" s="367"/>
      <c r="Q146" s="367"/>
      <c r="R146" s="367"/>
      <c r="S146" s="367"/>
      <c r="T146" s="367"/>
      <c r="U146" s="367"/>
      <c r="V146" s="367"/>
      <c r="W146" s="367"/>
      <c r="X146" s="367"/>
      <c r="Y146" s="367"/>
      <c r="Z146" s="367"/>
      <c r="AA146" s="367"/>
      <c r="AB146" s="367"/>
      <c r="AC146" s="367"/>
      <c r="AD146" s="367"/>
      <c r="AE146" s="367"/>
      <c r="AF146" s="367"/>
      <c r="AG146" s="367"/>
      <c r="AH146" s="367"/>
      <c r="AI146" s="367"/>
      <c r="AJ146" s="367"/>
      <c r="AK146" s="367"/>
      <c r="AL146" s="367"/>
      <c r="AM146" s="367"/>
      <c r="AN146" s="367"/>
      <c r="AO146" s="367"/>
      <c r="AP146" s="367"/>
      <c r="AQ146" s="367"/>
      <c r="AR146" s="431"/>
      <c r="AS146" s="432"/>
      <c r="AT146" s="125"/>
      <c r="AU146" s="130"/>
    </row>
    <row r="147" spans="1:48" ht="12.95" customHeight="1" thickBot="1" x14ac:dyDescent="0.2">
      <c r="A147" s="125"/>
      <c r="B147" s="410" t="s">
        <v>399</v>
      </c>
      <c r="C147" s="411"/>
      <c r="D147" s="449" t="s">
        <v>259</v>
      </c>
      <c r="E147" s="450"/>
      <c r="F147" s="450"/>
      <c r="G147" s="450"/>
      <c r="H147" s="450"/>
      <c r="I147" s="451"/>
      <c r="J147" s="363" t="s">
        <v>400</v>
      </c>
      <c r="K147" s="364"/>
      <c r="L147" s="364"/>
      <c r="M147" s="364"/>
      <c r="N147" s="364"/>
      <c r="O147" s="364"/>
      <c r="P147" s="364"/>
      <c r="Q147" s="364"/>
      <c r="R147" s="364"/>
      <c r="S147" s="364"/>
      <c r="T147" s="364"/>
      <c r="U147" s="364"/>
      <c r="V147" s="364"/>
      <c r="W147" s="364"/>
      <c r="X147" s="364"/>
      <c r="Y147" s="364"/>
      <c r="Z147" s="364"/>
      <c r="AA147" s="364"/>
      <c r="AB147" s="364"/>
      <c r="AC147" s="364"/>
      <c r="AD147" s="364"/>
      <c r="AE147" s="364"/>
      <c r="AF147" s="364"/>
      <c r="AG147" s="364"/>
      <c r="AH147" s="364"/>
      <c r="AI147" s="364"/>
      <c r="AJ147" s="364"/>
      <c r="AK147" s="364"/>
      <c r="AL147" s="364"/>
      <c r="AM147" s="364"/>
      <c r="AN147" s="364"/>
      <c r="AO147" s="364"/>
      <c r="AP147" s="364"/>
      <c r="AQ147" s="364"/>
      <c r="AR147" s="431"/>
      <c r="AS147" s="432"/>
      <c r="AT147" s="125"/>
      <c r="AU147" s="130"/>
    </row>
    <row r="148" spans="1:48" ht="12.95" customHeight="1" thickBot="1" x14ac:dyDescent="0.2">
      <c r="A148" s="125"/>
      <c r="B148" s="412"/>
      <c r="C148" s="413"/>
      <c r="D148" s="452"/>
      <c r="E148" s="453"/>
      <c r="F148" s="453"/>
      <c r="G148" s="453"/>
      <c r="H148" s="453"/>
      <c r="I148" s="454"/>
      <c r="J148" s="458"/>
      <c r="K148" s="459"/>
      <c r="L148" s="459"/>
      <c r="M148" s="459"/>
      <c r="N148" s="459"/>
      <c r="O148" s="459"/>
      <c r="P148" s="459"/>
      <c r="Q148" s="459"/>
      <c r="R148" s="459"/>
      <c r="S148" s="459"/>
      <c r="T148" s="459"/>
      <c r="U148" s="459"/>
      <c r="V148" s="459"/>
      <c r="W148" s="459"/>
      <c r="X148" s="459"/>
      <c r="Y148" s="459"/>
      <c r="Z148" s="459"/>
      <c r="AA148" s="459"/>
      <c r="AB148" s="459"/>
      <c r="AC148" s="459"/>
      <c r="AD148" s="459"/>
      <c r="AE148" s="459"/>
      <c r="AF148" s="459"/>
      <c r="AG148" s="459"/>
      <c r="AH148" s="459"/>
      <c r="AI148" s="459"/>
      <c r="AJ148" s="459"/>
      <c r="AK148" s="459"/>
      <c r="AL148" s="459"/>
      <c r="AM148" s="459"/>
      <c r="AN148" s="459"/>
      <c r="AO148" s="459"/>
      <c r="AP148" s="459"/>
      <c r="AQ148" s="459"/>
      <c r="AR148" s="431"/>
      <c r="AS148" s="432"/>
      <c r="AT148" s="125"/>
      <c r="AU148" s="130" t="b">
        <v>0</v>
      </c>
      <c r="AV148" s="126" t="str">
        <f>IF(AU148,"OK","必須")</f>
        <v>必須</v>
      </c>
    </row>
    <row r="149" spans="1:48" ht="12.95" customHeight="1" thickBot="1" x14ac:dyDescent="0.2">
      <c r="A149" s="125"/>
      <c r="B149" s="414"/>
      <c r="C149" s="415"/>
      <c r="D149" s="455"/>
      <c r="E149" s="456"/>
      <c r="F149" s="456"/>
      <c r="G149" s="456"/>
      <c r="H149" s="456"/>
      <c r="I149" s="457"/>
      <c r="J149" s="366"/>
      <c r="K149" s="367"/>
      <c r="L149" s="367"/>
      <c r="M149" s="367"/>
      <c r="N149" s="367"/>
      <c r="O149" s="367"/>
      <c r="P149" s="367"/>
      <c r="Q149" s="367"/>
      <c r="R149" s="367"/>
      <c r="S149" s="367"/>
      <c r="T149" s="367"/>
      <c r="U149" s="367"/>
      <c r="V149" s="367"/>
      <c r="W149" s="367"/>
      <c r="X149" s="367"/>
      <c r="Y149" s="367"/>
      <c r="Z149" s="367"/>
      <c r="AA149" s="367"/>
      <c r="AB149" s="367"/>
      <c r="AC149" s="367"/>
      <c r="AD149" s="367"/>
      <c r="AE149" s="367"/>
      <c r="AF149" s="367"/>
      <c r="AG149" s="367"/>
      <c r="AH149" s="367"/>
      <c r="AI149" s="367"/>
      <c r="AJ149" s="367"/>
      <c r="AK149" s="367"/>
      <c r="AL149" s="367"/>
      <c r="AM149" s="367"/>
      <c r="AN149" s="367"/>
      <c r="AO149" s="367"/>
      <c r="AP149" s="367"/>
      <c r="AQ149" s="367"/>
      <c r="AR149" s="431"/>
      <c r="AS149" s="432"/>
      <c r="AT149" s="125"/>
      <c r="AU149" s="130"/>
    </row>
    <row r="150" spans="1:48" ht="12" customHeight="1" thickBot="1" x14ac:dyDescent="0.2">
      <c r="A150" s="125"/>
      <c r="B150" s="410" t="s">
        <v>401</v>
      </c>
      <c r="C150" s="411"/>
      <c r="D150" s="449" t="s">
        <v>259</v>
      </c>
      <c r="E150" s="450"/>
      <c r="F150" s="450"/>
      <c r="G150" s="450"/>
      <c r="H150" s="450"/>
      <c r="I150" s="451"/>
      <c r="J150" s="363" t="s">
        <v>402</v>
      </c>
      <c r="K150" s="364"/>
      <c r="L150" s="364"/>
      <c r="M150" s="364"/>
      <c r="N150" s="364"/>
      <c r="O150" s="364"/>
      <c r="P150" s="364"/>
      <c r="Q150" s="364"/>
      <c r="R150" s="364"/>
      <c r="S150" s="364"/>
      <c r="T150" s="364"/>
      <c r="U150" s="364"/>
      <c r="V150" s="364"/>
      <c r="W150" s="364"/>
      <c r="X150" s="364"/>
      <c r="Y150" s="364"/>
      <c r="Z150" s="364"/>
      <c r="AA150" s="364"/>
      <c r="AB150" s="364"/>
      <c r="AC150" s="364"/>
      <c r="AD150" s="364"/>
      <c r="AE150" s="364"/>
      <c r="AF150" s="364"/>
      <c r="AG150" s="364"/>
      <c r="AH150" s="364"/>
      <c r="AI150" s="364"/>
      <c r="AJ150" s="364"/>
      <c r="AK150" s="364"/>
      <c r="AL150" s="364"/>
      <c r="AM150" s="364"/>
      <c r="AN150" s="364"/>
      <c r="AO150" s="364"/>
      <c r="AP150" s="364"/>
      <c r="AQ150" s="364"/>
      <c r="AR150" s="431"/>
      <c r="AS150" s="432"/>
      <c r="AT150" s="125"/>
      <c r="AU150" s="130"/>
    </row>
    <row r="151" spans="1:48" ht="12.75" thickBot="1" x14ac:dyDescent="0.2">
      <c r="A151" s="125"/>
      <c r="B151" s="412"/>
      <c r="C151" s="413"/>
      <c r="D151" s="452"/>
      <c r="E151" s="453"/>
      <c r="F151" s="453"/>
      <c r="G151" s="453"/>
      <c r="H151" s="453"/>
      <c r="I151" s="454"/>
      <c r="J151" s="458"/>
      <c r="K151" s="459"/>
      <c r="L151" s="459"/>
      <c r="M151" s="459"/>
      <c r="N151" s="459"/>
      <c r="O151" s="459"/>
      <c r="P151" s="459"/>
      <c r="Q151" s="459"/>
      <c r="R151" s="459"/>
      <c r="S151" s="459"/>
      <c r="T151" s="459"/>
      <c r="U151" s="459"/>
      <c r="V151" s="459"/>
      <c r="W151" s="459"/>
      <c r="X151" s="459"/>
      <c r="Y151" s="459"/>
      <c r="Z151" s="459"/>
      <c r="AA151" s="459"/>
      <c r="AB151" s="459"/>
      <c r="AC151" s="459"/>
      <c r="AD151" s="459"/>
      <c r="AE151" s="459"/>
      <c r="AF151" s="459"/>
      <c r="AG151" s="459"/>
      <c r="AH151" s="459"/>
      <c r="AI151" s="459"/>
      <c r="AJ151" s="459"/>
      <c r="AK151" s="459"/>
      <c r="AL151" s="459"/>
      <c r="AM151" s="459"/>
      <c r="AN151" s="459"/>
      <c r="AO151" s="459"/>
      <c r="AP151" s="459"/>
      <c r="AQ151" s="459"/>
      <c r="AR151" s="431"/>
      <c r="AS151" s="432"/>
      <c r="AT151" s="125"/>
      <c r="AU151" s="130" t="b">
        <v>0</v>
      </c>
      <c r="AV151" s="126" t="str">
        <f>IF(AU151,"OK","必須")</f>
        <v>必須</v>
      </c>
    </row>
    <row r="152" spans="1:48" ht="12.75" thickBot="1" x14ac:dyDescent="0.2">
      <c r="A152" s="125"/>
      <c r="B152" s="414"/>
      <c r="C152" s="415"/>
      <c r="D152" s="455"/>
      <c r="E152" s="456"/>
      <c r="F152" s="456"/>
      <c r="G152" s="456"/>
      <c r="H152" s="456"/>
      <c r="I152" s="457"/>
      <c r="J152" s="366"/>
      <c r="K152" s="367"/>
      <c r="L152" s="367"/>
      <c r="M152" s="367"/>
      <c r="N152" s="367"/>
      <c r="O152" s="367"/>
      <c r="P152" s="367"/>
      <c r="Q152" s="367"/>
      <c r="R152" s="367"/>
      <c r="S152" s="367"/>
      <c r="T152" s="367"/>
      <c r="U152" s="367"/>
      <c r="V152" s="367"/>
      <c r="W152" s="367"/>
      <c r="X152" s="367"/>
      <c r="Y152" s="367"/>
      <c r="Z152" s="367"/>
      <c r="AA152" s="367"/>
      <c r="AB152" s="367"/>
      <c r="AC152" s="367"/>
      <c r="AD152" s="367"/>
      <c r="AE152" s="367"/>
      <c r="AF152" s="367"/>
      <c r="AG152" s="367"/>
      <c r="AH152" s="367"/>
      <c r="AI152" s="367"/>
      <c r="AJ152" s="367"/>
      <c r="AK152" s="367"/>
      <c r="AL152" s="367"/>
      <c r="AM152" s="367"/>
      <c r="AN152" s="367"/>
      <c r="AO152" s="367"/>
      <c r="AP152" s="367"/>
      <c r="AQ152" s="367"/>
      <c r="AR152" s="431"/>
      <c r="AS152" s="432"/>
      <c r="AT152" s="125"/>
      <c r="AU152" s="130"/>
    </row>
    <row r="153" spans="1:48" ht="12.75" thickBot="1" x14ac:dyDescent="0.2">
      <c r="A153" s="125"/>
      <c r="B153" s="410" t="s">
        <v>403</v>
      </c>
      <c r="C153" s="411"/>
      <c r="D153" s="449" t="s">
        <v>259</v>
      </c>
      <c r="E153" s="450"/>
      <c r="F153" s="450"/>
      <c r="G153" s="450"/>
      <c r="H153" s="450"/>
      <c r="I153" s="451"/>
      <c r="J153" s="363" t="s">
        <v>404</v>
      </c>
      <c r="K153" s="364"/>
      <c r="L153" s="364"/>
      <c r="M153" s="364"/>
      <c r="N153" s="364"/>
      <c r="O153" s="364"/>
      <c r="P153" s="364"/>
      <c r="Q153" s="364"/>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4"/>
      <c r="AN153" s="364"/>
      <c r="AO153" s="364"/>
      <c r="AP153" s="364"/>
      <c r="AQ153" s="364"/>
      <c r="AR153" s="431"/>
      <c r="AS153" s="432"/>
      <c r="AT153" s="125"/>
      <c r="AU153" s="130"/>
    </row>
    <row r="154" spans="1:48" ht="12.75" thickBot="1" x14ac:dyDescent="0.2">
      <c r="A154" s="125"/>
      <c r="B154" s="412"/>
      <c r="C154" s="413"/>
      <c r="D154" s="452"/>
      <c r="E154" s="453"/>
      <c r="F154" s="453"/>
      <c r="G154" s="453"/>
      <c r="H154" s="453"/>
      <c r="I154" s="454"/>
      <c r="J154" s="458"/>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459"/>
      <c r="AK154" s="459"/>
      <c r="AL154" s="459"/>
      <c r="AM154" s="459"/>
      <c r="AN154" s="459"/>
      <c r="AO154" s="459"/>
      <c r="AP154" s="459"/>
      <c r="AQ154" s="459"/>
      <c r="AR154" s="431"/>
      <c r="AS154" s="432"/>
      <c r="AT154" s="125"/>
      <c r="AU154" s="130" t="b">
        <v>0</v>
      </c>
      <c r="AV154" s="126" t="str">
        <f>IF(AU154,"OK","必須")</f>
        <v>必須</v>
      </c>
    </row>
    <row r="155" spans="1:48" ht="12.75" thickBot="1" x14ac:dyDescent="0.2">
      <c r="A155" s="125"/>
      <c r="B155" s="414"/>
      <c r="C155" s="415"/>
      <c r="D155" s="455"/>
      <c r="E155" s="456"/>
      <c r="F155" s="456"/>
      <c r="G155" s="456"/>
      <c r="H155" s="456"/>
      <c r="I155" s="457"/>
      <c r="J155" s="366"/>
      <c r="K155" s="367"/>
      <c r="L155" s="367"/>
      <c r="M155" s="367"/>
      <c r="N155" s="367"/>
      <c r="O155" s="367"/>
      <c r="P155" s="367"/>
      <c r="Q155" s="367"/>
      <c r="R155" s="367"/>
      <c r="S155" s="367"/>
      <c r="T155" s="367"/>
      <c r="U155" s="367"/>
      <c r="V155" s="367"/>
      <c r="W155" s="367"/>
      <c r="X155" s="367"/>
      <c r="Y155" s="367"/>
      <c r="Z155" s="367"/>
      <c r="AA155" s="367"/>
      <c r="AB155" s="367"/>
      <c r="AC155" s="367"/>
      <c r="AD155" s="367"/>
      <c r="AE155" s="367"/>
      <c r="AF155" s="367"/>
      <c r="AG155" s="367"/>
      <c r="AH155" s="367"/>
      <c r="AI155" s="367"/>
      <c r="AJ155" s="367"/>
      <c r="AK155" s="367"/>
      <c r="AL155" s="367"/>
      <c r="AM155" s="367"/>
      <c r="AN155" s="367"/>
      <c r="AO155" s="367"/>
      <c r="AP155" s="367"/>
      <c r="AQ155" s="367"/>
      <c r="AR155" s="431"/>
      <c r="AS155" s="432"/>
      <c r="AT155" s="125"/>
      <c r="AU155" s="130"/>
    </row>
    <row r="156" spans="1:48" ht="12" customHeight="1" thickBot="1" x14ac:dyDescent="0.2">
      <c r="A156" s="125"/>
      <c r="B156" s="410" t="s">
        <v>405</v>
      </c>
      <c r="C156" s="411"/>
      <c r="D156" s="449" t="s">
        <v>259</v>
      </c>
      <c r="E156" s="450"/>
      <c r="F156" s="450"/>
      <c r="G156" s="450"/>
      <c r="H156" s="450"/>
      <c r="I156" s="451"/>
      <c r="J156" s="363" t="s">
        <v>406</v>
      </c>
      <c r="K156" s="364"/>
      <c r="L156" s="364"/>
      <c r="M156" s="364"/>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c r="AP156" s="364"/>
      <c r="AQ156" s="364"/>
      <c r="AR156" s="431"/>
      <c r="AS156" s="432"/>
      <c r="AT156" s="125"/>
      <c r="AU156" s="130"/>
    </row>
    <row r="157" spans="1:48" ht="12.75" thickBot="1" x14ac:dyDescent="0.2">
      <c r="A157" s="125"/>
      <c r="B157" s="412"/>
      <c r="C157" s="413"/>
      <c r="D157" s="452"/>
      <c r="E157" s="453"/>
      <c r="F157" s="453"/>
      <c r="G157" s="453"/>
      <c r="H157" s="453"/>
      <c r="I157" s="454"/>
      <c r="J157" s="458"/>
      <c r="K157" s="459"/>
      <c r="L157" s="459"/>
      <c r="M157" s="459"/>
      <c r="N157" s="459"/>
      <c r="O157" s="459"/>
      <c r="P157" s="459"/>
      <c r="Q157" s="459"/>
      <c r="R157" s="459"/>
      <c r="S157" s="459"/>
      <c r="T157" s="459"/>
      <c r="U157" s="459"/>
      <c r="V157" s="459"/>
      <c r="W157" s="459"/>
      <c r="X157" s="459"/>
      <c r="Y157" s="459"/>
      <c r="Z157" s="459"/>
      <c r="AA157" s="459"/>
      <c r="AB157" s="459"/>
      <c r="AC157" s="459"/>
      <c r="AD157" s="459"/>
      <c r="AE157" s="459"/>
      <c r="AF157" s="459"/>
      <c r="AG157" s="459"/>
      <c r="AH157" s="459"/>
      <c r="AI157" s="459"/>
      <c r="AJ157" s="459"/>
      <c r="AK157" s="459"/>
      <c r="AL157" s="459"/>
      <c r="AM157" s="459"/>
      <c r="AN157" s="459"/>
      <c r="AO157" s="459"/>
      <c r="AP157" s="459"/>
      <c r="AQ157" s="459"/>
      <c r="AR157" s="431"/>
      <c r="AS157" s="432"/>
      <c r="AT157" s="125"/>
      <c r="AU157" s="130" t="b">
        <v>0</v>
      </c>
      <c r="AV157" s="126" t="str">
        <f>IF(AU157,"OK","必須")</f>
        <v>必須</v>
      </c>
    </row>
    <row r="158" spans="1:48" ht="12.75" thickBot="1" x14ac:dyDescent="0.2">
      <c r="A158" s="125"/>
      <c r="B158" s="414"/>
      <c r="C158" s="415"/>
      <c r="D158" s="455"/>
      <c r="E158" s="456"/>
      <c r="F158" s="456"/>
      <c r="G158" s="456"/>
      <c r="H158" s="456"/>
      <c r="I158" s="457"/>
      <c r="J158" s="366"/>
      <c r="K158" s="367"/>
      <c r="L158" s="367"/>
      <c r="M158" s="367"/>
      <c r="N158" s="367"/>
      <c r="O158" s="367"/>
      <c r="P158" s="367"/>
      <c r="Q158" s="367"/>
      <c r="R158" s="367"/>
      <c r="S158" s="367"/>
      <c r="T158" s="367"/>
      <c r="U158" s="367"/>
      <c r="V158" s="367"/>
      <c r="W158" s="367"/>
      <c r="X158" s="367"/>
      <c r="Y158" s="367"/>
      <c r="Z158" s="367"/>
      <c r="AA158" s="367"/>
      <c r="AB158" s="367"/>
      <c r="AC158" s="367"/>
      <c r="AD158" s="367"/>
      <c r="AE158" s="367"/>
      <c r="AF158" s="367"/>
      <c r="AG158" s="367"/>
      <c r="AH158" s="367"/>
      <c r="AI158" s="367"/>
      <c r="AJ158" s="367"/>
      <c r="AK158" s="367"/>
      <c r="AL158" s="367"/>
      <c r="AM158" s="367"/>
      <c r="AN158" s="367"/>
      <c r="AO158" s="367"/>
      <c r="AP158" s="367"/>
      <c r="AQ158" s="367"/>
      <c r="AR158" s="431"/>
      <c r="AS158" s="432"/>
      <c r="AT158" s="125"/>
      <c r="AU158" s="130"/>
    </row>
    <row r="159" spans="1:48" x14ac:dyDescent="0.15">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row>
    <row r="160" spans="1:48" x14ac:dyDescent="0.15">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row>
    <row r="161" spans="1:58" x14ac:dyDescent="0.15">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row>
    <row r="162" spans="1:58" x14ac:dyDescent="0.15">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row>
    <row r="163" spans="1:58" x14ac:dyDescent="0.15">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row>
    <row r="164" spans="1:58" x14ac:dyDescent="0.15">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row>
    <row r="165" spans="1:58" x14ac:dyDescent="0.15">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row>
    <row r="166" spans="1:58" x14ac:dyDescent="0.15">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row>
    <row r="167" spans="1:58" x14ac:dyDescent="0.15">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row>
    <row r="168" spans="1:58" x14ac:dyDescent="0.15">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row>
    <row r="169" spans="1:58" x14ac:dyDescent="0.15">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row>
    <row r="170" spans="1:58" x14ac:dyDescent="0.15">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row>
    <row r="171" spans="1:58" x14ac:dyDescent="0.15">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row>
    <row r="172" spans="1:58" x14ac:dyDescent="0.15">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row>
    <row r="173" spans="1:58" x14ac:dyDescent="0.15">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row>
    <row r="174" spans="1:58" x14ac:dyDescent="0.15">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row>
    <row r="175" spans="1:58" x14ac:dyDescent="0.15">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c r="BF175" s="125"/>
    </row>
    <row r="176" spans="1:58" x14ac:dyDescent="0.15">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row>
    <row r="177" spans="1:58" x14ac:dyDescent="0.15">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c r="BF177" s="125"/>
    </row>
    <row r="178" spans="1:58" x14ac:dyDescent="0.15">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125"/>
    </row>
    <row r="179" spans="1:58" x14ac:dyDescent="0.15">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row>
    <row r="180" spans="1:58" x14ac:dyDescent="0.15">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row>
    <row r="181" spans="1:58" x14ac:dyDescent="0.15">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row>
    <row r="182" spans="1:58" x14ac:dyDescent="0.15">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row>
    <row r="183" spans="1:58" x14ac:dyDescent="0.15">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c r="BF183" s="125"/>
    </row>
    <row r="184" spans="1:58" x14ac:dyDescent="0.15">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row>
    <row r="185" spans="1:58" x14ac:dyDescent="0.15">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row>
    <row r="186" spans="1:58" x14ac:dyDescent="0.15">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row>
    <row r="187" spans="1:58" x14ac:dyDescent="0.15">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row>
    <row r="188" spans="1:58" x14ac:dyDescent="0.15">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row>
    <row r="189" spans="1:58" x14ac:dyDescent="0.15">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row>
    <row r="190" spans="1:58" x14ac:dyDescent="0.15">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row>
    <row r="191" spans="1:58" x14ac:dyDescent="0.15">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row>
    <row r="192" spans="1:58" x14ac:dyDescent="0.15">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row>
    <row r="193" spans="1:58" x14ac:dyDescent="0.15">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c r="BF193" s="125"/>
    </row>
    <row r="194" spans="1:58" x14ac:dyDescent="0.15">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row>
    <row r="195" spans="1:58" x14ac:dyDescent="0.15">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row>
    <row r="196" spans="1:58" x14ac:dyDescent="0.15">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125"/>
      <c r="BA196" s="125"/>
      <c r="BB196" s="125"/>
      <c r="BC196" s="125"/>
      <c r="BD196" s="125"/>
      <c r="BE196" s="125"/>
      <c r="BF196" s="125"/>
    </row>
    <row r="197" spans="1:58" x14ac:dyDescent="0.15">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c r="BF197" s="125"/>
    </row>
    <row r="198" spans="1:58" x14ac:dyDescent="0.15">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c r="BF198" s="125"/>
    </row>
    <row r="199" spans="1:58" x14ac:dyDescent="0.15">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c r="BF199" s="125"/>
    </row>
    <row r="200" spans="1:58" x14ac:dyDescent="0.15">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row>
    <row r="201" spans="1:58" x14ac:dyDescent="0.15">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125"/>
      <c r="BA201" s="125"/>
      <c r="BB201" s="125"/>
      <c r="BC201" s="125"/>
      <c r="BD201" s="125"/>
      <c r="BE201" s="125"/>
      <c r="BF201" s="125"/>
    </row>
    <row r="202" spans="1:58" x14ac:dyDescent="0.15">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c r="BF202" s="125"/>
    </row>
    <row r="203" spans="1:58" x14ac:dyDescent="0.15">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row>
    <row r="204" spans="1:58" x14ac:dyDescent="0.15">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row>
    <row r="205" spans="1:58" x14ac:dyDescent="0.15">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125"/>
      <c r="BA205" s="125"/>
      <c r="BB205" s="125"/>
      <c r="BC205" s="125"/>
      <c r="BD205" s="125"/>
      <c r="BE205" s="125"/>
      <c r="BF205" s="125"/>
    </row>
    <row r="206" spans="1:58" x14ac:dyDescent="0.15">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row>
    <row r="207" spans="1:58" x14ac:dyDescent="0.15">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row>
    <row r="208" spans="1:58" x14ac:dyDescent="0.15">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row>
    <row r="209" spans="1:58" x14ac:dyDescent="0.15">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c r="BF209" s="125"/>
    </row>
    <row r="210" spans="1:58" x14ac:dyDescent="0.15">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row>
    <row r="211" spans="1:58" x14ac:dyDescent="0.15">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c r="BF211" s="125"/>
    </row>
    <row r="212" spans="1:58" x14ac:dyDescent="0.15">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125"/>
      <c r="BA212" s="125"/>
      <c r="BB212" s="125"/>
      <c r="BC212" s="125"/>
      <c r="BD212" s="125"/>
      <c r="BE212" s="125"/>
      <c r="BF212" s="125"/>
    </row>
    <row r="213" spans="1:58" x14ac:dyDescent="0.15">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125"/>
      <c r="BA213" s="125"/>
      <c r="BB213" s="125"/>
      <c r="BC213" s="125"/>
      <c r="BD213" s="125"/>
      <c r="BE213" s="125"/>
      <c r="BF213" s="125"/>
    </row>
    <row r="214" spans="1:58" x14ac:dyDescent="0.15">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125"/>
      <c r="BA214" s="125"/>
      <c r="BB214" s="125"/>
      <c r="BC214" s="125"/>
      <c r="BD214" s="125"/>
      <c r="BE214" s="125"/>
      <c r="BF214" s="125"/>
    </row>
    <row r="215" spans="1:58" x14ac:dyDescent="0.15">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125"/>
      <c r="BA215" s="125"/>
      <c r="BB215" s="125"/>
      <c r="BC215" s="125"/>
      <c r="BD215" s="125"/>
      <c r="BE215" s="125"/>
      <c r="BF215" s="125"/>
    </row>
    <row r="216" spans="1:58" x14ac:dyDescent="0.15">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c r="BF216" s="125"/>
    </row>
    <row r="217" spans="1:58" x14ac:dyDescent="0.15">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125"/>
      <c r="BA217" s="125"/>
      <c r="BB217" s="125"/>
      <c r="BC217" s="125"/>
      <c r="BD217" s="125"/>
      <c r="BE217" s="125"/>
      <c r="BF217" s="125"/>
    </row>
    <row r="218" spans="1:58" x14ac:dyDescent="0.15">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125"/>
      <c r="BA218" s="125"/>
      <c r="BB218" s="125"/>
      <c r="BC218" s="125"/>
      <c r="BD218" s="125"/>
      <c r="BE218" s="125"/>
      <c r="BF218" s="125"/>
    </row>
    <row r="219" spans="1:58" x14ac:dyDescent="0.15">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125"/>
      <c r="BA219" s="125"/>
      <c r="BB219" s="125"/>
      <c r="BC219" s="125"/>
      <c r="BD219" s="125"/>
      <c r="BE219" s="125"/>
      <c r="BF219" s="125"/>
    </row>
    <row r="220" spans="1:58" x14ac:dyDescent="0.15">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c r="BF220" s="125"/>
    </row>
    <row r="221" spans="1:58" x14ac:dyDescent="0.15">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row>
    <row r="222" spans="1:58" x14ac:dyDescent="0.15">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25"/>
      <c r="BB222" s="125"/>
      <c r="BC222" s="125"/>
      <c r="BD222" s="125"/>
      <c r="BE222" s="125"/>
      <c r="BF222" s="125"/>
    </row>
  </sheetData>
  <sheetProtection algorithmName="SHA-512" hashValue="gSOM3Nk0T3EfEfwHhSYhAjxsbul8f962EhvtoOaoLCDR+zq4iHLE2qYgEl+OGjIVwKsWubLGWBIOmy19Ic2JTA==" saltValue="JR9le77J2qXt7AvRehGU/w==" spinCount="100000" sheet="1" objects="1" scenarios="1"/>
  <mergeCells count="164">
    <mergeCell ref="B156:C158"/>
    <mergeCell ref="D156:I158"/>
    <mergeCell ref="J156:AQ158"/>
    <mergeCell ref="AR156:AS158"/>
    <mergeCell ref="B150:C152"/>
    <mergeCell ref="D150:I152"/>
    <mergeCell ref="J150:AQ152"/>
    <mergeCell ref="AR150:AS152"/>
    <mergeCell ref="B153:C155"/>
    <mergeCell ref="D153:I155"/>
    <mergeCell ref="J153:AQ155"/>
    <mergeCell ref="AR153:AS155"/>
    <mergeCell ref="B144:C146"/>
    <mergeCell ref="D144:I146"/>
    <mergeCell ref="J144:AQ146"/>
    <mergeCell ref="AR144:AS146"/>
    <mergeCell ref="B147:C149"/>
    <mergeCell ref="D147:I149"/>
    <mergeCell ref="J147:AQ149"/>
    <mergeCell ref="AR147:AS149"/>
    <mergeCell ref="B138:C140"/>
    <mergeCell ref="D138:I140"/>
    <mergeCell ref="J138:AQ140"/>
    <mergeCell ref="AR138:AS140"/>
    <mergeCell ref="B141:C143"/>
    <mergeCell ref="D141:I143"/>
    <mergeCell ref="J141:AQ143"/>
    <mergeCell ref="AR141:AS143"/>
    <mergeCell ref="B132:C134"/>
    <mergeCell ref="D132:I134"/>
    <mergeCell ref="J132:AQ134"/>
    <mergeCell ref="AR132:AS134"/>
    <mergeCell ref="B135:C137"/>
    <mergeCell ref="D135:I137"/>
    <mergeCell ref="J135:AQ137"/>
    <mergeCell ref="AR135:AS137"/>
    <mergeCell ref="A121:AT122"/>
    <mergeCell ref="A123:W124"/>
    <mergeCell ref="AP123:AT124"/>
    <mergeCell ref="B125:J126"/>
    <mergeCell ref="B127:AS128"/>
    <mergeCell ref="B129:C131"/>
    <mergeCell ref="D129:I131"/>
    <mergeCell ref="J129:AQ131"/>
    <mergeCell ref="AR129:AS131"/>
    <mergeCell ref="B110:C114"/>
    <mergeCell ref="D110:I114"/>
    <mergeCell ref="J110:AQ114"/>
    <mergeCell ref="AR110:AS114"/>
    <mergeCell ref="B115:C119"/>
    <mergeCell ref="D115:I119"/>
    <mergeCell ref="J115:AQ119"/>
    <mergeCell ref="AR115:AS119"/>
    <mergeCell ref="B104:C106"/>
    <mergeCell ref="D104:I106"/>
    <mergeCell ref="J104:AQ106"/>
    <mergeCell ref="AR104:AS106"/>
    <mergeCell ref="B107:C109"/>
    <mergeCell ref="D107:I109"/>
    <mergeCell ref="J107:AQ109"/>
    <mergeCell ref="AR107:AS109"/>
    <mergeCell ref="B94:C98"/>
    <mergeCell ref="D94:I98"/>
    <mergeCell ref="J94:AQ98"/>
    <mergeCell ref="AR94:AS98"/>
    <mergeCell ref="B99:C103"/>
    <mergeCell ref="D99:I103"/>
    <mergeCell ref="J99:AQ103"/>
    <mergeCell ref="AR99:AS103"/>
    <mergeCell ref="B88:C90"/>
    <mergeCell ref="D88:I90"/>
    <mergeCell ref="J88:AQ90"/>
    <mergeCell ref="AR88:AS90"/>
    <mergeCell ref="B91:C93"/>
    <mergeCell ref="D91:I93"/>
    <mergeCell ref="J91:AQ93"/>
    <mergeCell ref="AR91:AS93"/>
    <mergeCell ref="B82:C84"/>
    <mergeCell ref="D82:I84"/>
    <mergeCell ref="J82:AQ84"/>
    <mergeCell ref="AR82:AS84"/>
    <mergeCell ref="B85:C87"/>
    <mergeCell ref="D85:I87"/>
    <mergeCell ref="J85:AQ87"/>
    <mergeCell ref="AR85:AS87"/>
    <mergeCell ref="B75:C78"/>
    <mergeCell ref="D75:I78"/>
    <mergeCell ref="J75:AQ78"/>
    <mergeCell ref="AR75:AS78"/>
    <mergeCell ref="B79:C81"/>
    <mergeCell ref="D79:I81"/>
    <mergeCell ref="J79:AQ81"/>
    <mergeCell ref="AR79:AS81"/>
    <mergeCell ref="B68:J69"/>
    <mergeCell ref="B70:AS71"/>
    <mergeCell ref="B72:C74"/>
    <mergeCell ref="D72:I74"/>
    <mergeCell ref="J72:AQ74"/>
    <mergeCell ref="AR72:AS74"/>
    <mergeCell ref="B58:K61"/>
    <mergeCell ref="L58:AS61"/>
    <mergeCell ref="B62:AS62"/>
    <mergeCell ref="B63:K63"/>
    <mergeCell ref="A64:AT65"/>
    <mergeCell ref="A66:W67"/>
    <mergeCell ref="AP66:AT67"/>
    <mergeCell ref="B50:Y51"/>
    <mergeCell ref="B52:K54"/>
    <mergeCell ref="L52:U54"/>
    <mergeCell ref="V52:Y54"/>
    <mergeCell ref="Z52:AS54"/>
    <mergeCell ref="B56:AS57"/>
    <mergeCell ref="B44:C47"/>
    <mergeCell ref="D44:K47"/>
    <mergeCell ref="L44:U47"/>
    <mergeCell ref="V44:Y47"/>
    <mergeCell ref="Z44:AS47"/>
    <mergeCell ref="B48:K48"/>
    <mergeCell ref="L48:Y48"/>
    <mergeCell ref="Z48:AS48"/>
    <mergeCell ref="B33:I34"/>
    <mergeCell ref="J33:AS34"/>
    <mergeCell ref="B36:K37"/>
    <mergeCell ref="B38:AO39"/>
    <mergeCell ref="B40:C43"/>
    <mergeCell ref="D40:K43"/>
    <mergeCell ref="L40:U43"/>
    <mergeCell ref="V40:Y43"/>
    <mergeCell ref="Z40:AS43"/>
    <mergeCell ref="B21:I26"/>
    <mergeCell ref="J21:AS26"/>
    <mergeCell ref="B27:I28"/>
    <mergeCell ref="J27:AS28"/>
    <mergeCell ref="B29:K30"/>
    <mergeCell ref="B31:I32"/>
    <mergeCell ref="J31:AS32"/>
    <mergeCell ref="X13:AE14"/>
    <mergeCell ref="AF13:AS14"/>
    <mergeCell ref="B15:H16"/>
    <mergeCell ref="B17:I18"/>
    <mergeCell ref="J17:AS18"/>
    <mergeCell ref="B19:I20"/>
    <mergeCell ref="J19:AS20"/>
    <mergeCell ref="B13:I14"/>
    <mergeCell ref="J13:M14"/>
    <mergeCell ref="N13:N14"/>
    <mergeCell ref="O13:R14"/>
    <mergeCell ref="S13:S14"/>
    <mergeCell ref="T13:W14"/>
    <mergeCell ref="A1:AT2"/>
    <mergeCell ref="A3:W4"/>
    <mergeCell ref="X3:AO4"/>
    <mergeCell ref="AP3:AT4"/>
    <mergeCell ref="B5:AS5"/>
    <mergeCell ref="B6:J7"/>
    <mergeCell ref="B8:I9"/>
    <mergeCell ref="J8:AS9"/>
    <mergeCell ref="B10:I12"/>
    <mergeCell ref="J10:W12"/>
    <mergeCell ref="X10:AE12"/>
    <mergeCell ref="AF10:AL10"/>
    <mergeCell ref="AM10:AS10"/>
    <mergeCell ref="AF11:AL12"/>
    <mergeCell ref="AM11:AS12"/>
  </mergeCells>
  <phoneticPr fontId="1"/>
  <conditionalFormatting sqref="J13:M14">
    <cfRule type="expression" dxfId="63" priority="18">
      <formula>$J$13&lt;&gt;""</formula>
    </cfRule>
  </conditionalFormatting>
  <conditionalFormatting sqref="J10:W12">
    <cfRule type="expression" dxfId="62" priority="21">
      <formula>$AV$10="OK"</formula>
    </cfRule>
  </conditionalFormatting>
  <conditionalFormatting sqref="J17:AS18">
    <cfRule type="expression" dxfId="61" priority="14">
      <formula>$AV$17="OK"</formula>
    </cfRule>
  </conditionalFormatting>
  <conditionalFormatting sqref="J21:AS26">
    <cfRule type="expression" dxfId="60" priority="13">
      <formula>$AV$21="OK"</formula>
    </cfRule>
  </conditionalFormatting>
  <conditionalFormatting sqref="J27:AS28">
    <cfRule type="expression" dxfId="59" priority="12">
      <formula>$AV$27="OK"</formula>
    </cfRule>
  </conditionalFormatting>
  <conditionalFormatting sqref="L58:AS61">
    <cfRule type="expression" dxfId="58" priority="11">
      <formula>$AV$58="OK"</formula>
    </cfRule>
  </conditionalFormatting>
  <conditionalFormatting sqref="O13:R14">
    <cfRule type="expression" dxfId="57" priority="17">
      <formula>$O$13&lt;&gt;""</formula>
    </cfRule>
  </conditionalFormatting>
  <conditionalFormatting sqref="T13:W14">
    <cfRule type="expression" dxfId="56" priority="16">
      <formula>$T$13&lt;&gt;""</formula>
    </cfRule>
  </conditionalFormatting>
  <conditionalFormatting sqref="X3:AO4">
    <cfRule type="expression" dxfId="55" priority="10">
      <formula>$AV$3=$AU$3</formula>
    </cfRule>
  </conditionalFormatting>
  <conditionalFormatting sqref="AF10:AS10">
    <cfRule type="expression" dxfId="54" priority="20">
      <formula>$AV$11="OK"</formula>
    </cfRule>
  </conditionalFormatting>
  <conditionalFormatting sqref="AF11:AS12">
    <cfRule type="expression" dxfId="53" priority="19">
      <formula>$AV$12="OK"</formula>
    </cfRule>
  </conditionalFormatting>
  <conditionalFormatting sqref="AF13:AS14">
    <cfRule type="expression" dxfId="52" priority="15">
      <formula>$AF$13&lt;&gt;""</formula>
    </cfRule>
  </conditionalFormatting>
  <conditionalFormatting sqref="AR79:AS81">
    <cfRule type="expression" dxfId="51" priority="34">
      <formula>$AU$80=TRUE</formula>
    </cfRule>
  </conditionalFormatting>
  <conditionalFormatting sqref="AR82:AS84">
    <cfRule type="expression" dxfId="50" priority="33">
      <formula>$AU$83=TRUE</formula>
    </cfRule>
  </conditionalFormatting>
  <conditionalFormatting sqref="AR85:AS87">
    <cfRule type="expression" dxfId="49" priority="32">
      <formula>$AU$86=TRUE</formula>
    </cfRule>
  </conditionalFormatting>
  <conditionalFormatting sqref="AR88:AS90">
    <cfRule type="expression" dxfId="48" priority="31">
      <formula>$AU$89=TRUE</formula>
    </cfRule>
  </conditionalFormatting>
  <conditionalFormatting sqref="AR91:AS93">
    <cfRule type="expression" dxfId="47" priority="30">
      <formula>$AU$92=TRUE</formula>
    </cfRule>
  </conditionalFormatting>
  <conditionalFormatting sqref="AR99:AS103">
    <cfRule type="expression" dxfId="46" priority="29">
      <formula>$AU$102=TRUE</formula>
    </cfRule>
  </conditionalFormatting>
  <conditionalFormatting sqref="AR104:AS106">
    <cfRule type="expression" dxfId="45" priority="28">
      <formula>$AU$105=TRUE</formula>
    </cfRule>
  </conditionalFormatting>
  <conditionalFormatting sqref="AR110">
    <cfRule type="expression" dxfId="44" priority="27">
      <formula>$AU$111=TRUE</formula>
    </cfRule>
  </conditionalFormatting>
  <conditionalFormatting sqref="AR129:AS131">
    <cfRule type="expression" dxfId="43" priority="26">
      <formula>$AU$130=TRUE</formula>
    </cfRule>
  </conditionalFormatting>
  <conditionalFormatting sqref="AR132:AS134">
    <cfRule type="expression" dxfId="42" priority="25">
      <formula>$AU$133=TRUE</formula>
    </cfRule>
  </conditionalFormatting>
  <conditionalFormatting sqref="AR135:AS137">
    <cfRule type="expression" dxfId="41" priority="24">
      <formula>$AU$136=TRUE</formula>
    </cfRule>
  </conditionalFormatting>
  <conditionalFormatting sqref="AR150:AS152">
    <cfRule type="expression" dxfId="40" priority="23">
      <formula>$AU$151=TRUE</formula>
    </cfRule>
  </conditionalFormatting>
  <conditionalFormatting sqref="AR156:AS158">
    <cfRule type="expression" dxfId="39" priority="22">
      <formula>$AU$157=TRUE</formula>
    </cfRule>
  </conditionalFormatting>
  <conditionalFormatting sqref="AR75:AS78">
    <cfRule type="expression" dxfId="38" priority="9">
      <formula>$AU$77=TRUE</formula>
    </cfRule>
  </conditionalFormatting>
  <conditionalFormatting sqref="AR94:AS98">
    <cfRule type="expression" dxfId="37" priority="35">
      <formula>$AU$96=TRUE</formula>
    </cfRule>
  </conditionalFormatting>
  <conditionalFormatting sqref="AR138:AS140">
    <cfRule type="expression" dxfId="36" priority="8">
      <formula>$AU$139=TRUE</formula>
    </cfRule>
  </conditionalFormatting>
  <conditionalFormatting sqref="AR141:AS143">
    <cfRule type="expression" dxfId="35" priority="7">
      <formula>$AU$142=TRUE</formula>
    </cfRule>
  </conditionalFormatting>
  <conditionalFormatting sqref="AR144:AS146">
    <cfRule type="expression" dxfId="34" priority="6">
      <formula>$AU$145=TRUE</formula>
    </cfRule>
  </conditionalFormatting>
  <conditionalFormatting sqref="AR147:AS149">
    <cfRule type="expression" dxfId="33" priority="5">
      <formula>$AU$148=TRUE</formula>
    </cfRule>
  </conditionalFormatting>
  <conditionalFormatting sqref="AR153:AS155">
    <cfRule type="expression" dxfId="32" priority="4">
      <formula>$AU$154=TRUE</formula>
    </cfRule>
  </conditionalFormatting>
  <conditionalFormatting sqref="AR107:AS109">
    <cfRule type="expression" dxfId="31" priority="3">
      <formula>$AU$108=TRUE</formula>
    </cfRule>
  </conditionalFormatting>
  <conditionalFormatting sqref="AR72:AS74">
    <cfRule type="expression" dxfId="30" priority="2">
      <formula>$AU$73=TRUE</formula>
    </cfRule>
  </conditionalFormatting>
  <conditionalFormatting sqref="AR115">
    <cfRule type="expression" dxfId="29" priority="1">
      <formula>$AU$116=TRUE</formula>
    </cfRule>
  </conditionalFormatting>
  <dataValidations count="1">
    <dataValidation showInputMessage="1" showErrorMessage="1" sqref="L48" xr:uid="{C6C96161-9F57-4FD6-9019-C625A09CBAD7}"/>
  </dataValidations>
  <printOptions horizontalCentered="1"/>
  <pageMargins left="0.23622047244094491" right="0.23622047244094491" top="0.35433070866141736" bottom="0.35433070866141736" header="0.11811023622047245" footer="0.11811023622047245"/>
  <pageSetup paperSize="9" fitToHeight="0" orientation="portrait" r:id="rId1"/>
  <rowBreaks count="2" manualBreakCount="2">
    <brk id="63" max="46" man="1"/>
    <brk id="120"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43</xdr:col>
                    <xdr:colOff>66675</xdr:colOff>
                    <xdr:row>78</xdr:row>
                    <xdr:rowOff>123825</xdr:rowOff>
                  </from>
                  <to>
                    <xdr:col>44</xdr:col>
                    <xdr:colOff>104775</xdr:colOff>
                    <xdr:row>80</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43</xdr:col>
                    <xdr:colOff>66675</xdr:colOff>
                    <xdr:row>81</xdr:row>
                    <xdr:rowOff>123825</xdr:rowOff>
                  </from>
                  <to>
                    <xdr:col>44</xdr:col>
                    <xdr:colOff>104775</xdr:colOff>
                    <xdr:row>82</xdr:row>
                    <xdr:rowOff>133350</xdr:rowOff>
                  </to>
                </anchor>
              </controlPr>
            </control>
          </mc:Choice>
        </mc:AlternateContent>
        <mc:AlternateContent xmlns:mc="http://schemas.openxmlformats.org/markup-compatibility/2006">
          <mc:Choice Requires="x14">
            <control shapeId="6147" r:id="rId6" name="Check Box 3">
              <controlPr locked="0" defaultSize="0" autoFill="0" autoLine="0" autoPict="0">
                <anchor moveWithCells="1">
                  <from>
                    <xdr:col>43</xdr:col>
                    <xdr:colOff>66675</xdr:colOff>
                    <xdr:row>81</xdr:row>
                    <xdr:rowOff>123825</xdr:rowOff>
                  </from>
                  <to>
                    <xdr:col>44</xdr:col>
                    <xdr:colOff>104775</xdr:colOff>
                    <xdr:row>82</xdr:row>
                    <xdr:rowOff>133350</xdr:rowOff>
                  </to>
                </anchor>
              </controlPr>
            </control>
          </mc:Choice>
        </mc:AlternateContent>
        <mc:AlternateContent xmlns:mc="http://schemas.openxmlformats.org/markup-compatibility/2006">
          <mc:Choice Requires="x14">
            <control shapeId="6148" r:id="rId7" name="Check Box 4">
              <controlPr locked="0" defaultSize="0" autoFill="0" autoLine="0" autoPict="0">
                <anchor moveWithCells="1">
                  <from>
                    <xdr:col>43</xdr:col>
                    <xdr:colOff>66675</xdr:colOff>
                    <xdr:row>84</xdr:row>
                    <xdr:rowOff>123825</xdr:rowOff>
                  </from>
                  <to>
                    <xdr:col>44</xdr:col>
                    <xdr:colOff>104775</xdr:colOff>
                    <xdr:row>86</xdr:row>
                    <xdr:rowOff>0</xdr:rowOff>
                  </to>
                </anchor>
              </controlPr>
            </control>
          </mc:Choice>
        </mc:AlternateContent>
        <mc:AlternateContent xmlns:mc="http://schemas.openxmlformats.org/markup-compatibility/2006">
          <mc:Choice Requires="x14">
            <control shapeId="6149" r:id="rId8" name="Check Box 5">
              <controlPr locked="0" defaultSize="0" autoFill="0" autoLine="0" autoPict="0">
                <anchor moveWithCells="1">
                  <from>
                    <xdr:col>43</xdr:col>
                    <xdr:colOff>66675</xdr:colOff>
                    <xdr:row>87</xdr:row>
                    <xdr:rowOff>123825</xdr:rowOff>
                  </from>
                  <to>
                    <xdr:col>44</xdr:col>
                    <xdr:colOff>104775</xdr:colOff>
                    <xdr:row>89</xdr:row>
                    <xdr:rowOff>0</xdr:rowOff>
                  </to>
                </anchor>
              </controlPr>
            </control>
          </mc:Choice>
        </mc:AlternateContent>
        <mc:AlternateContent xmlns:mc="http://schemas.openxmlformats.org/markup-compatibility/2006">
          <mc:Choice Requires="x14">
            <control shapeId="6150" r:id="rId9" name="Check Box 6">
              <controlPr locked="0" defaultSize="0" autoFill="0" autoLine="0" autoPict="0">
                <anchor moveWithCells="1">
                  <from>
                    <xdr:col>43</xdr:col>
                    <xdr:colOff>66675</xdr:colOff>
                    <xdr:row>90</xdr:row>
                    <xdr:rowOff>123825</xdr:rowOff>
                  </from>
                  <to>
                    <xdr:col>44</xdr:col>
                    <xdr:colOff>104775</xdr:colOff>
                    <xdr:row>92</xdr:row>
                    <xdr:rowOff>0</xdr:rowOff>
                  </to>
                </anchor>
              </controlPr>
            </control>
          </mc:Choice>
        </mc:AlternateContent>
        <mc:AlternateContent xmlns:mc="http://schemas.openxmlformats.org/markup-compatibility/2006">
          <mc:Choice Requires="x14">
            <control shapeId="6151" r:id="rId10" name="Check Box 7">
              <controlPr locked="0" defaultSize="0" autoFill="0" autoLine="0" autoPict="0">
                <anchor moveWithCells="1">
                  <from>
                    <xdr:col>43</xdr:col>
                    <xdr:colOff>66675</xdr:colOff>
                    <xdr:row>94</xdr:row>
                    <xdr:rowOff>85725</xdr:rowOff>
                  </from>
                  <to>
                    <xdr:col>44</xdr:col>
                    <xdr:colOff>104775</xdr:colOff>
                    <xdr:row>95</xdr:row>
                    <xdr:rowOff>123825</xdr:rowOff>
                  </to>
                </anchor>
              </controlPr>
            </control>
          </mc:Choice>
        </mc:AlternateContent>
        <mc:AlternateContent xmlns:mc="http://schemas.openxmlformats.org/markup-compatibility/2006">
          <mc:Choice Requires="x14">
            <control shapeId="6152" r:id="rId11" name="Check Box 8">
              <controlPr locked="0" defaultSize="0" autoFill="0" autoLine="0" autoPict="0">
                <anchor moveWithCells="1">
                  <from>
                    <xdr:col>43</xdr:col>
                    <xdr:colOff>66675</xdr:colOff>
                    <xdr:row>100</xdr:row>
                    <xdr:rowOff>19050</xdr:rowOff>
                  </from>
                  <to>
                    <xdr:col>44</xdr:col>
                    <xdr:colOff>104775</xdr:colOff>
                    <xdr:row>100</xdr:row>
                    <xdr:rowOff>209550</xdr:rowOff>
                  </to>
                </anchor>
              </controlPr>
            </control>
          </mc:Choice>
        </mc:AlternateContent>
        <mc:AlternateContent xmlns:mc="http://schemas.openxmlformats.org/markup-compatibility/2006">
          <mc:Choice Requires="x14">
            <control shapeId="6153" r:id="rId12" name="Check Box 9">
              <controlPr locked="0" defaultSize="0" autoFill="0" autoLine="0" autoPict="0">
                <anchor moveWithCells="1">
                  <from>
                    <xdr:col>43</xdr:col>
                    <xdr:colOff>66675</xdr:colOff>
                    <xdr:row>103</xdr:row>
                    <xdr:rowOff>123825</xdr:rowOff>
                  </from>
                  <to>
                    <xdr:col>44</xdr:col>
                    <xdr:colOff>104775</xdr:colOff>
                    <xdr:row>105</xdr:row>
                    <xdr:rowOff>0</xdr:rowOff>
                  </to>
                </anchor>
              </controlPr>
            </control>
          </mc:Choice>
        </mc:AlternateContent>
        <mc:AlternateContent xmlns:mc="http://schemas.openxmlformats.org/markup-compatibility/2006">
          <mc:Choice Requires="x14">
            <control shapeId="6154" r:id="rId13" name="Check Box 10">
              <controlPr locked="0" defaultSize="0" autoFill="0" autoLine="0" autoPict="0">
                <anchor moveWithCells="1">
                  <from>
                    <xdr:col>43</xdr:col>
                    <xdr:colOff>47625</xdr:colOff>
                    <xdr:row>111</xdr:row>
                    <xdr:rowOff>161925</xdr:rowOff>
                  </from>
                  <to>
                    <xdr:col>44</xdr:col>
                    <xdr:colOff>85725</xdr:colOff>
                    <xdr:row>112</xdr:row>
                    <xdr:rowOff>0</xdr:rowOff>
                  </to>
                </anchor>
              </controlPr>
            </control>
          </mc:Choice>
        </mc:AlternateContent>
        <mc:AlternateContent xmlns:mc="http://schemas.openxmlformats.org/markup-compatibility/2006">
          <mc:Choice Requires="x14">
            <control shapeId="6155" r:id="rId14" name="Check Box 11">
              <controlPr locked="0" defaultSize="0" autoFill="0" autoLine="0" autoPict="0">
                <anchor moveWithCells="1">
                  <from>
                    <xdr:col>43</xdr:col>
                    <xdr:colOff>66675</xdr:colOff>
                    <xdr:row>128</xdr:row>
                    <xdr:rowOff>123825</xdr:rowOff>
                  </from>
                  <to>
                    <xdr:col>44</xdr:col>
                    <xdr:colOff>104775</xdr:colOff>
                    <xdr:row>130</xdr:row>
                    <xdr:rowOff>0</xdr:rowOff>
                  </to>
                </anchor>
              </controlPr>
            </control>
          </mc:Choice>
        </mc:AlternateContent>
        <mc:AlternateContent xmlns:mc="http://schemas.openxmlformats.org/markup-compatibility/2006">
          <mc:Choice Requires="x14">
            <control shapeId="6156" r:id="rId15" name="Check Box 12">
              <controlPr locked="0" defaultSize="0" autoFill="0" autoLine="0" autoPict="0">
                <anchor moveWithCells="1">
                  <from>
                    <xdr:col>43</xdr:col>
                    <xdr:colOff>66675</xdr:colOff>
                    <xdr:row>131</xdr:row>
                    <xdr:rowOff>123825</xdr:rowOff>
                  </from>
                  <to>
                    <xdr:col>44</xdr:col>
                    <xdr:colOff>104775</xdr:colOff>
                    <xdr:row>133</xdr:row>
                    <xdr:rowOff>0</xdr:rowOff>
                  </to>
                </anchor>
              </controlPr>
            </control>
          </mc:Choice>
        </mc:AlternateContent>
        <mc:AlternateContent xmlns:mc="http://schemas.openxmlformats.org/markup-compatibility/2006">
          <mc:Choice Requires="x14">
            <control shapeId="6157" r:id="rId16" name="Check Box 13">
              <controlPr locked="0" defaultSize="0" autoFill="0" autoLine="0" autoPict="0">
                <anchor moveWithCells="1">
                  <from>
                    <xdr:col>43</xdr:col>
                    <xdr:colOff>66675</xdr:colOff>
                    <xdr:row>134</xdr:row>
                    <xdr:rowOff>123825</xdr:rowOff>
                  </from>
                  <to>
                    <xdr:col>44</xdr:col>
                    <xdr:colOff>104775</xdr:colOff>
                    <xdr:row>136</xdr:row>
                    <xdr:rowOff>0</xdr:rowOff>
                  </to>
                </anchor>
              </controlPr>
            </control>
          </mc:Choice>
        </mc:AlternateContent>
        <mc:AlternateContent xmlns:mc="http://schemas.openxmlformats.org/markup-compatibility/2006">
          <mc:Choice Requires="x14">
            <control shapeId="6158" r:id="rId17" name="Check Box 14">
              <controlPr locked="0" defaultSize="0" autoFill="0" autoLine="0" autoPict="0">
                <anchor moveWithCells="1">
                  <from>
                    <xdr:col>43</xdr:col>
                    <xdr:colOff>66675</xdr:colOff>
                    <xdr:row>149</xdr:row>
                    <xdr:rowOff>123825</xdr:rowOff>
                  </from>
                  <to>
                    <xdr:col>44</xdr:col>
                    <xdr:colOff>104775</xdr:colOff>
                    <xdr:row>151</xdr:row>
                    <xdr:rowOff>0</xdr:rowOff>
                  </to>
                </anchor>
              </controlPr>
            </control>
          </mc:Choice>
        </mc:AlternateContent>
        <mc:AlternateContent xmlns:mc="http://schemas.openxmlformats.org/markup-compatibility/2006">
          <mc:Choice Requires="x14">
            <control shapeId="6159" r:id="rId18" name="Check Box 15">
              <controlPr locked="0" defaultSize="0" autoFill="0" autoLine="0" autoPict="0">
                <anchor moveWithCells="1">
                  <from>
                    <xdr:col>43</xdr:col>
                    <xdr:colOff>66675</xdr:colOff>
                    <xdr:row>155</xdr:row>
                    <xdr:rowOff>123825</xdr:rowOff>
                  </from>
                  <to>
                    <xdr:col>44</xdr:col>
                    <xdr:colOff>104775</xdr:colOff>
                    <xdr:row>157</xdr:row>
                    <xdr:rowOff>0</xdr:rowOff>
                  </to>
                </anchor>
              </controlPr>
            </control>
          </mc:Choice>
        </mc:AlternateContent>
        <mc:AlternateContent xmlns:mc="http://schemas.openxmlformats.org/markup-compatibility/2006">
          <mc:Choice Requires="x14">
            <control shapeId="6160" r:id="rId19" name="Check Box 16">
              <controlPr locked="0" defaultSize="0" autoFill="0" autoLine="0" autoPict="0">
                <anchor moveWithCells="1">
                  <from>
                    <xdr:col>43</xdr:col>
                    <xdr:colOff>66675</xdr:colOff>
                    <xdr:row>137</xdr:row>
                    <xdr:rowOff>123825</xdr:rowOff>
                  </from>
                  <to>
                    <xdr:col>44</xdr:col>
                    <xdr:colOff>104775</xdr:colOff>
                    <xdr:row>138</xdr:row>
                    <xdr:rowOff>152400</xdr:rowOff>
                  </to>
                </anchor>
              </controlPr>
            </control>
          </mc:Choice>
        </mc:AlternateContent>
        <mc:AlternateContent xmlns:mc="http://schemas.openxmlformats.org/markup-compatibility/2006">
          <mc:Choice Requires="x14">
            <control shapeId="6161" r:id="rId20" name="Check Box 17">
              <controlPr locked="0" defaultSize="0" autoFill="0" autoLine="0" autoPict="0">
                <anchor moveWithCells="1">
                  <from>
                    <xdr:col>43</xdr:col>
                    <xdr:colOff>66675</xdr:colOff>
                    <xdr:row>140</xdr:row>
                    <xdr:rowOff>123825</xdr:rowOff>
                  </from>
                  <to>
                    <xdr:col>44</xdr:col>
                    <xdr:colOff>104775</xdr:colOff>
                    <xdr:row>141</xdr:row>
                    <xdr:rowOff>152400</xdr:rowOff>
                  </to>
                </anchor>
              </controlPr>
            </control>
          </mc:Choice>
        </mc:AlternateContent>
        <mc:AlternateContent xmlns:mc="http://schemas.openxmlformats.org/markup-compatibility/2006">
          <mc:Choice Requires="x14">
            <control shapeId="6162" r:id="rId21" name="Check Box 18">
              <controlPr locked="0" defaultSize="0" autoFill="0" autoLine="0" autoPict="0">
                <anchor moveWithCells="1">
                  <from>
                    <xdr:col>43</xdr:col>
                    <xdr:colOff>66675</xdr:colOff>
                    <xdr:row>143</xdr:row>
                    <xdr:rowOff>123825</xdr:rowOff>
                  </from>
                  <to>
                    <xdr:col>44</xdr:col>
                    <xdr:colOff>104775</xdr:colOff>
                    <xdr:row>144</xdr:row>
                    <xdr:rowOff>152400</xdr:rowOff>
                  </to>
                </anchor>
              </controlPr>
            </control>
          </mc:Choice>
        </mc:AlternateContent>
        <mc:AlternateContent xmlns:mc="http://schemas.openxmlformats.org/markup-compatibility/2006">
          <mc:Choice Requires="x14">
            <control shapeId="6163" r:id="rId22" name="Check Box 19">
              <controlPr locked="0" defaultSize="0" autoFill="0" autoLine="0" autoPict="0">
                <anchor moveWithCells="1">
                  <from>
                    <xdr:col>43</xdr:col>
                    <xdr:colOff>66675</xdr:colOff>
                    <xdr:row>146</xdr:row>
                    <xdr:rowOff>123825</xdr:rowOff>
                  </from>
                  <to>
                    <xdr:col>44</xdr:col>
                    <xdr:colOff>104775</xdr:colOff>
                    <xdr:row>147</xdr:row>
                    <xdr:rowOff>152400</xdr:rowOff>
                  </to>
                </anchor>
              </controlPr>
            </control>
          </mc:Choice>
        </mc:AlternateContent>
        <mc:AlternateContent xmlns:mc="http://schemas.openxmlformats.org/markup-compatibility/2006">
          <mc:Choice Requires="x14">
            <control shapeId="6164" r:id="rId23" name="Check Box 20">
              <controlPr locked="0" defaultSize="0" autoFill="0" autoLine="0" autoPict="0">
                <anchor moveWithCells="1">
                  <from>
                    <xdr:col>43</xdr:col>
                    <xdr:colOff>66675</xdr:colOff>
                    <xdr:row>152</xdr:row>
                    <xdr:rowOff>123825</xdr:rowOff>
                  </from>
                  <to>
                    <xdr:col>44</xdr:col>
                    <xdr:colOff>104775</xdr:colOff>
                    <xdr:row>153</xdr:row>
                    <xdr:rowOff>152400</xdr:rowOff>
                  </to>
                </anchor>
              </controlPr>
            </control>
          </mc:Choice>
        </mc:AlternateContent>
        <mc:AlternateContent xmlns:mc="http://schemas.openxmlformats.org/markup-compatibility/2006">
          <mc:Choice Requires="x14">
            <control shapeId="6165" r:id="rId24" name="Check Box 21">
              <controlPr locked="0" defaultSize="0" autoFill="0" autoLine="0" autoPict="0">
                <anchor moveWithCells="1">
                  <from>
                    <xdr:col>43</xdr:col>
                    <xdr:colOff>66675</xdr:colOff>
                    <xdr:row>106</xdr:row>
                    <xdr:rowOff>123825</xdr:rowOff>
                  </from>
                  <to>
                    <xdr:col>44</xdr:col>
                    <xdr:colOff>104775</xdr:colOff>
                    <xdr:row>108</xdr:row>
                    <xdr:rowOff>0</xdr:rowOff>
                  </to>
                </anchor>
              </controlPr>
            </control>
          </mc:Choice>
        </mc:AlternateContent>
        <mc:AlternateContent xmlns:mc="http://schemas.openxmlformats.org/markup-compatibility/2006">
          <mc:Choice Requires="x14">
            <control shapeId="6166" r:id="rId25" name="Check Box 22">
              <controlPr locked="0" defaultSize="0" autoFill="0" autoLine="0" autoPict="0">
                <anchor moveWithCells="1">
                  <from>
                    <xdr:col>43</xdr:col>
                    <xdr:colOff>66675</xdr:colOff>
                    <xdr:row>71</xdr:row>
                    <xdr:rowOff>123825</xdr:rowOff>
                  </from>
                  <to>
                    <xdr:col>44</xdr:col>
                    <xdr:colOff>104775</xdr:colOff>
                    <xdr:row>73</xdr:row>
                    <xdr:rowOff>47625</xdr:rowOff>
                  </to>
                </anchor>
              </controlPr>
            </control>
          </mc:Choice>
        </mc:AlternateContent>
        <mc:AlternateContent xmlns:mc="http://schemas.openxmlformats.org/markup-compatibility/2006">
          <mc:Choice Requires="x14">
            <control shapeId="6167" r:id="rId26" name="Check Box 23">
              <controlPr locked="0" defaultSize="0" autoFill="0" autoLine="0" autoPict="0">
                <anchor moveWithCells="1">
                  <from>
                    <xdr:col>43</xdr:col>
                    <xdr:colOff>66675</xdr:colOff>
                    <xdr:row>75</xdr:row>
                    <xdr:rowOff>47625</xdr:rowOff>
                  </from>
                  <to>
                    <xdr:col>44</xdr:col>
                    <xdr:colOff>104775</xdr:colOff>
                    <xdr:row>76</xdr:row>
                    <xdr:rowOff>133350</xdr:rowOff>
                  </to>
                </anchor>
              </controlPr>
            </control>
          </mc:Choice>
        </mc:AlternateContent>
        <mc:AlternateContent xmlns:mc="http://schemas.openxmlformats.org/markup-compatibility/2006">
          <mc:Choice Requires="x14">
            <control shapeId="6168" r:id="rId27" name="Check Box 24">
              <controlPr locked="0" defaultSize="0" autoFill="0" autoLine="0" autoPict="0">
                <anchor moveWithCells="1">
                  <from>
                    <xdr:col>43</xdr:col>
                    <xdr:colOff>47625</xdr:colOff>
                    <xdr:row>116</xdr:row>
                    <xdr:rowOff>180975</xdr:rowOff>
                  </from>
                  <to>
                    <xdr:col>44</xdr:col>
                    <xdr:colOff>85725</xdr:colOff>
                    <xdr:row>117</xdr:row>
                    <xdr:rowOff>66675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4DD66-7869-48EF-BB5D-8BBCB8FC3236}">
  <sheetPr codeName="Sheet19">
    <pageSetUpPr fitToPage="1"/>
  </sheetPr>
  <dimension ref="B2:X50"/>
  <sheetViews>
    <sheetView view="pageBreakPreview" zoomScaleNormal="100" zoomScaleSheetLayoutView="100" workbookViewId="0"/>
  </sheetViews>
  <sheetFormatPr defaultRowHeight="13.5" x14ac:dyDescent="0.15"/>
  <cols>
    <col min="1" max="2" width="2.75" customWidth="1"/>
    <col min="3" max="3" width="28.125" customWidth="1"/>
    <col min="4" max="4" width="10.625" customWidth="1"/>
    <col min="5" max="5" width="2.625" customWidth="1"/>
    <col min="6" max="6" width="8.125" customWidth="1"/>
    <col min="7" max="7" width="11.375" bestFit="1" customWidth="1"/>
    <col min="8" max="8" width="3.375" customWidth="1"/>
    <col min="9" max="9" width="14.375" customWidth="1"/>
    <col min="10" max="10" width="11.375" bestFit="1" customWidth="1"/>
    <col min="11" max="11" width="3.375" bestFit="1" customWidth="1"/>
    <col min="12" max="12" width="14.375" customWidth="1"/>
    <col min="13" max="13" width="9.625" customWidth="1"/>
    <col min="14" max="14" width="3.375" bestFit="1" customWidth="1"/>
    <col min="15" max="16" width="9.625" customWidth="1"/>
    <col min="17" max="18" width="2.875" customWidth="1"/>
  </cols>
  <sheetData>
    <row r="2" spans="2:17" ht="23.45" customHeight="1" x14ac:dyDescent="0.15">
      <c r="C2" s="268" t="s">
        <v>20</v>
      </c>
      <c r="D2" s="268"/>
      <c r="E2" s="268"/>
      <c r="F2" s="268"/>
      <c r="G2" s="268"/>
      <c r="H2" s="268"/>
      <c r="I2" s="268"/>
      <c r="J2" s="268"/>
      <c r="K2" s="268"/>
      <c r="L2" s="268"/>
      <c r="M2" s="268"/>
      <c r="N2" s="268"/>
      <c r="O2" s="268"/>
      <c r="P2" s="268"/>
    </row>
    <row r="3" spans="2:17" ht="7.5" customHeight="1" x14ac:dyDescent="0.15">
      <c r="C3" s="34"/>
      <c r="D3" s="34"/>
      <c r="E3" s="34"/>
      <c r="F3" s="34"/>
      <c r="G3" s="34"/>
      <c r="H3" s="34"/>
      <c r="I3" s="34"/>
      <c r="J3" s="34"/>
      <c r="K3" s="34"/>
      <c r="L3" s="34"/>
      <c r="M3" s="34"/>
      <c r="N3" s="34"/>
      <c r="O3" s="34"/>
      <c r="P3" s="34"/>
    </row>
    <row r="4" spans="2:17" ht="15" customHeight="1" x14ac:dyDescent="0.15">
      <c r="C4" s="140" t="str">
        <f>"【"&amp;製品カテゴリ&amp;"】"</f>
        <v>【AGV・AMR】</v>
      </c>
      <c r="D4" s="34"/>
      <c r="E4" s="34"/>
      <c r="F4" s="34"/>
      <c r="G4" s="34"/>
      <c r="H4" s="34"/>
      <c r="I4" s="34"/>
      <c r="J4" s="34"/>
      <c r="K4" s="35"/>
      <c r="L4" s="35"/>
      <c r="M4" s="35"/>
      <c r="N4" s="552" t="s">
        <v>21</v>
      </c>
      <c r="O4" s="552"/>
      <c r="P4" s="552"/>
    </row>
    <row r="5" spans="2:17" ht="7.5" customHeight="1" x14ac:dyDescent="0.15">
      <c r="C5" s="34"/>
      <c r="D5" s="34"/>
      <c r="E5" s="34"/>
      <c r="F5" s="34"/>
      <c r="G5" s="34"/>
      <c r="H5" s="34"/>
      <c r="I5" s="34"/>
      <c r="J5" s="34"/>
      <c r="K5" s="34"/>
      <c r="L5" s="34"/>
      <c r="M5" s="34"/>
      <c r="N5" s="34"/>
      <c r="O5" s="34"/>
      <c r="P5" s="34"/>
    </row>
    <row r="6" spans="2:17" x14ac:dyDescent="0.15">
      <c r="C6" s="11" t="s">
        <v>0</v>
      </c>
      <c r="D6" s="551">
        <f>製造事業者名</f>
        <v>0</v>
      </c>
      <c r="E6" s="551"/>
      <c r="F6" s="551"/>
      <c r="G6" s="551"/>
      <c r="H6" s="551"/>
      <c r="I6" s="551"/>
      <c r="J6" s="551"/>
      <c r="K6" s="551"/>
      <c r="L6" s="551"/>
      <c r="M6" s="551"/>
    </row>
    <row r="7" spans="2:17" x14ac:dyDescent="0.15">
      <c r="C7" s="11" t="s">
        <v>1</v>
      </c>
      <c r="D7" s="551">
        <f>型番</f>
        <v>0</v>
      </c>
      <c r="E7" s="551"/>
      <c r="F7" s="551"/>
      <c r="G7" s="551"/>
      <c r="H7" s="551"/>
      <c r="I7" s="551"/>
      <c r="J7" s="551"/>
      <c r="K7" s="551"/>
      <c r="L7" s="551"/>
      <c r="M7" s="551"/>
    </row>
    <row r="9" spans="2:17" x14ac:dyDescent="0.15">
      <c r="C9" s="1" t="s">
        <v>444</v>
      </c>
      <c r="D9" s="1"/>
    </row>
    <row r="10" spans="2:17" x14ac:dyDescent="0.15">
      <c r="C10" s="1"/>
      <c r="D10" s="1"/>
    </row>
    <row r="11" spans="2:17" x14ac:dyDescent="0.15">
      <c r="C11" s="37" t="s">
        <v>22</v>
      </c>
      <c r="D11" s="548" t="s">
        <v>125</v>
      </c>
      <c r="E11" s="549"/>
      <c r="F11" s="549"/>
      <c r="G11" s="549"/>
      <c r="H11" s="550"/>
    </row>
    <row r="13" spans="2:17" ht="17.25" x14ac:dyDescent="0.15">
      <c r="B13" s="17"/>
      <c r="C13" s="28" t="s">
        <v>24</v>
      </c>
      <c r="D13" s="28"/>
      <c r="E13" s="18"/>
      <c r="F13" s="18"/>
      <c r="G13" s="18"/>
      <c r="H13" s="18"/>
      <c r="I13" s="18"/>
      <c r="J13" s="18"/>
      <c r="K13" s="18"/>
      <c r="L13" s="18"/>
      <c r="M13" s="18"/>
      <c r="N13" s="18"/>
      <c r="O13" s="18"/>
      <c r="P13" s="18"/>
      <c r="Q13" s="19"/>
    </row>
    <row r="14" spans="2:17" x14ac:dyDescent="0.15">
      <c r="B14" s="20"/>
      <c r="C14" s="12"/>
      <c r="D14" s="12"/>
      <c r="Q14" s="21"/>
    </row>
    <row r="15" spans="2:17" x14ac:dyDescent="0.15">
      <c r="B15" s="20"/>
      <c r="C15" t="s">
        <v>25</v>
      </c>
      <c r="I15" s="72">
        <f>'利用が想定される中小企業（小売業）'!$F$10/2000*60</f>
        <v>1.3041554224955392</v>
      </c>
      <c r="J15" s="5" t="s">
        <v>26</v>
      </c>
      <c r="K15" s="5" t="s">
        <v>27</v>
      </c>
      <c r="L15" s="53">
        <f>'利用が想定される中小企業（小売業）'!$F$11/100</f>
        <v>704.43467600700524</v>
      </c>
      <c r="M15" s="5" t="s">
        <v>28</v>
      </c>
      <c r="N15" s="5" t="s">
        <v>29</v>
      </c>
      <c r="O15" s="7">
        <f>I15*L15/60</f>
        <v>15.311538375140403</v>
      </c>
      <c r="P15" s="5" t="s">
        <v>30</v>
      </c>
      <c r="Q15" s="21"/>
    </row>
    <row r="16" spans="2:17" x14ac:dyDescent="0.15">
      <c r="B16" s="20"/>
      <c r="C16" t="s">
        <v>31</v>
      </c>
      <c r="I16" s="72">
        <f>'利用が想定される中小企業（小売業）'!$F$10/4000*60</f>
        <v>0.65207771124776959</v>
      </c>
      <c r="J16" s="5" t="s">
        <v>26</v>
      </c>
      <c r="K16" s="5" t="s">
        <v>27</v>
      </c>
      <c r="L16" s="53">
        <f>'利用が想定される中小企業（小売業）'!$F$11/100</f>
        <v>704.43467600700524</v>
      </c>
      <c r="M16" s="5" t="s">
        <v>28</v>
      </c>
      <c r="N16" s="5" t="s">
        <v>29</v>
      </c>
      <c r="O16" s="7">
        <f>I16*L16/60</f>
        <v>7.6557691875702014</v>
      </c>
      <c r="P16" s="5" t="s">
        <v>30</v>
      </c>
      <c r="Q16" s="21"/>
    </row>
    <row r="17" spans="2:17" x14ac:dyDescent="0.15">
      <c r="B17" s="20"/>
      <c r="C17" s="4" t="s">
        <v>32</v>
      </c>
      <c r="D17" s="4"/>
      <c r="E17" s="4"/>
      <c r="F17" s="4"/>
      <c r="G17" s="4"/>
      <c r="H17" s="4"/>
      <c r="I17" s="10">
        <v>0.5</v>
      </c>
      <c r="J17" s="8" t="s">
        <v>26</v>
      </c>
      <c r="K17" s="8" t="s">
        <v>27</v>
      </c>
      <c r="L17" s="54">
        <f>'利用が想定される中小企業（小売業）'!$F$11/100</f>
        <v>704.43467600700524</v>
      </c>
      <c r="M17" s="8" t="s">
        <v>28</v>
      </c>
      <c r="N17" s="8" t="s">
        <v>29</v>
      </c>
      <c r="O17" s="9">
        <f>I17*L17/60</f>
        <v>5.8702889667250435</v>
      </c>
      <c r="P17" s="8" t="s">
        <v>30</v>
      </c>
      <c r="Q17" s="21"/>
    </row>
    <row r="18" spans="2:17" x14ac:dyDescent="0.15">
      <c r="B18" s="20"/>
      <c r="C18" t="s">
        <v>33</v>
      </c>
      <c r="F18" s="5"/>
      <c r="G18" s="5"/>
      <c r="H18" s="5"/>
      <c r="I18" s="5"/>
      <c r="J18" s="5"/>
      <c r="K18" s="5"/>
      <c r="L18" s="5"/>
      <c r="M18" s="5"/>
      <c r="N18" s="5"/>
      <c r="O18" s="7">
        <f>SUM(O15:O17)</f>
        <v>28.83759652943565</v>
      </c>
      <c r="P18" s="5" t="s">
        <v>30</v>
      </c>
      <c r="Q18" s="21"/>
    </row>
    <row r="19" spans="2:17" x14ac:dyDescent="0.15">
      <c r="B19" s="20"/>
      <c r="C19" t="s">
        <v>34</v>
      </c>
      <c r="F19" s="5"/>
      <c r="G19" s="5"/>
      <c r="H19" s="5"/>
      <c r="I19" s="5"/>
      <c r="J19" s="5"/>
      <c r="K19" s="5"/>
      <c r="L19" s="5"/>
      <c r="M19" s="5"/>
      <c r="N19" s="5"/>
      <c r="O19" s="13"/>
      <c r="P19" s="5"/>
      <c r="Q19" s="21"/>
    </row>
    <row r="20" spans="2:17" x14ac:dyDescent="0.15">
      <c r="B20" s="20"/>
      <c r="F20" s="5"/>
      <c r="G20" s="5"/>
      <c r="H20" s="5"/>
      <c r="I20" s="5"/>
      <c r="J20" s="5"/>
      <c r="K20" s="5"/>
      <c r="L20" s="5"/>
      <c r="M20" s="5"/>
      <c r="N20" s="5"/>
      <c r="O20" s="13"/>
      <c r="P20" s="5"/>
      <c r="Q20" s="21"/>
    </row>
    <row r="21" spans="2:17" x14ac:dyDescent="0.15">
      <c r="B21" s="20"/>
      <c r="C21" t="s">
        <v>105</v>
      </c>
      <c r="F21" s="72">
        <f>'利用が想定される中小企業（小売業）'!$F$10/30+'利用が想定される中小企業（小売業）'!$F$10/60</f>
        <v>2.1735923708258986</v>
      </c>
      <c r="G21" s="5" t="s">
        <v>26</v>
      </c>
      <c r="H21" s="5" t="s">
        <v>27</v>
      </c>
      <c r="I21" s="52">
        <f>IF(人の同伴=凡例!$L$1,1,0)</f>
        <v>0</v>
      </c>
      <c r="J21" s="5" t="s">
        <v>36</v>
      </c>
      <c r="K21" s="5" t="s">
        <v>27</v>
      </c>
      <c r="L21" s="52" t="e">
        <f>'利用が想定される中小企業（小売業）'!$F$11/(最大搬送重量*0.8)</f>
        <v>#DIV/0!</v>
      </c>
      <c r="M21" s="5" t="s">
        <v>28</v>
      </c>
      <c r="N21" s="5" t="s">
        <v>29</v>
      </c>
      <c r="O21" s="75" t="e">
        <f>F21*I21*L21/60</f>
        <v>#DIV/0!</v>
      </c>
      <c r="P21" s="5" t="s">
        <v>30</v>
      </c>
      <c r="Q21" s="21"/>
    </row>
    <row r="22" spans="2:17" x14ac:dyDescent="0.15">
      <c r="B22" s="20"/>
      <c r="C22" t="s">
        <v>37</v>
      </c>
      <c r="F22" s="6">
        <v>0.5</v>
      </c>
      <c r="G22" s="5" t="s">
        <v>26</v>
      </c>
      <c r="H22" s="5" t="s">
        <v>27</v>
      </c>
      <c r="I22" s="52">
        <f>IF(積み下ろし方法=凡例!$N$1,0,1)</f>
        <v>1</v>
      </c>
      <c r="J22" s="5" t="s">
        <v>36</v>
      </c>
      <c r="K22" s="5" t="s">
        <v>27</v>
      </c>
      <c r="L22" s="52" t="e">
        <f>'利用が想定される中小企業（小売業）'!$F$11/(最大搬送重量*0.8)</f>
        <v>#DIV/0!</v>
      </c>
      <c r="M22" s="5" t="s">
        <v>28</v>
      </c>
      <c r="N22" s="5" t="s">
        <v>29</v>
      </c>
      <c r="O22" s="75" t="e">
        <f>F22*I22*L22/60</f>
        <v>#DIV/0!</v>
      </c>
      <c r="P22" s="5" t="s">
        <v>30</v>
      </c>
      <c r="Q22" s="21"/>
    </row>
    <row r="23" spans="2:17" x14ac:dyDescent="0.15">
      <c r="B23" s="20"/>
      <c r="C23" t="s">
        <v>38</v>
      </c>
      <c r="F23" s="6">
        <v>0.25</v>
      </c>
      <c r="G23" s="5" t="s">
        <v>26</v>
      </c>
      <c r="H23" s="5" t="s">
        <v>27</v>
      </c>
      <c r="I23" s="52">
        <f>IF(ルート設定方法=凡例!$N$1,0,1)</f>
        <v>1</v>
      </c>
      <c r="J23" s="5" t="s">
        <v>36</v>
      </c>
      <c r="K23" s="5" t="s">
        <v>27</v>
      </c>
      <c r="L23" s="52" t="e">
        <f>'利用が想定される中小企業（小売業）'!$F$11/(最大搬送重量*0.8)</f>
        <v>#DIV/0!</v>
      </c>
      <c r="M23" s="5" t="s">
        <v>28</v>
      </c>
      <c r="N23" s="5" t="s">
        <v>29</v>
      </c>
      <c r="O23" s="75" t="e">
        <f>F23*I23*L23/60</f>
        <v>#DIV/0!</v>
      </c>
      <c r="P23" s="5" t="s">
        <v>30</v>
      </c>
      <c r="Q23" s="21"/>
    </row>
    <row r="24" spans="2:17" x14ac:dyDescent="0.15">
      <c r="B24" s="20"/>
      <c r="C24" s="4" t="s">
        <v>39</v>
      </c>
      <c r="D24" s="4"/>
      <c r="E24" s="4"/>
      <c r="F24" s="8"/>
      <c r="G24" s="8"/>
      <c r="H24" s="8"/>
      <c r="I24" s="10">
        <f>(5+30/'利用が想定される中小企業（小売業）'!$F$8)</f>
        <v>5.0999999999999996</v>
      </c>
      <c r="J24" s="8" t="s">
        <v>106</v>
      </c>
      <c r="K24" s="8" t="s">
        <v>27</v>
      </c>
      <c r="L24" s="10" t="e">
        <f>'利用が想定される中小企業（小売業）'!$F$12</f>
        <v>#DIV/0!</v>
      </c>
      <c r="M24" s="8" t="s">
        <v>41</v>
      </c>
      <c r="N24" s="8" t="s">
        <v>29</v>
      </c>
      <c r="O24" s="9" t="e">
        <f>(I24*L24)/60</f>
        <v>#DIV/0!</v>
      </c>
      <c r="P24" s="8" t="s">
        <v>30</v>
      </c>
      <c r="Q24" s="21"/>
    </row>
    <row r="25" spans="2:17" x14ac:dyDescent="0.15">
      <c r="B25" s="20"/>
      <c r="C25" t="s">
        <v>42</v>
      </c>
      <c r="F25" s="5"/>
      <c r="G25" s="5"/>
      <c r="H25" s="5"/>
      <c r="I25" s="5"/>
      <c r="J25" s="5"/>
      <c r="K25" s="5"/>
      <c r="L25" s="5"/>
      <c r="M25" s="5"/>
      <c r="N25" s="5"/>
      <c r="O25" s="65" t="e">
        <f>SUM(O21:O24)</f>
        <v>#DIV/0!</v>
      </c>
      <c r="P25" s="5" t="s">
        <v>30</v>
      </c>
      <c r="Q25" s="21"/>
    </row>
    <row r="26" spans="2:17" x14ac:dyDescent="0.15">
      <c r="B26" s="20"/>
      <c r="C26" t="s">
        <v>43</v>
      </c>
      <c r="F26" s="5"/>
      <c r="G26" s="5"/>
      <c r="H26" s="5"/>
      <c r="I26" s="5"/>
      <c r="J26" s="5"/>
      <c r="K26" s="5"/>
      <c r="L26" s="5"/>
      <c r="M26" s="5"/>
      <c r="N26" s="5"/>
      <c r="O26" s="13"/>
      <c r="P26" s="5"/>
      <c r="Q26" s="21"/>
    </row>
    <row r="27" spans="2:17" ht="14.25" thickBot="1" x14ac:dyDescent="0.2">
      <c r="B27" s="20"/>
      <c r="F27" s="5"/>
      <c r="G27" s="5"/>
      <c r="H27" s="5"/>
      <c r="I27" s="5"/>
      <c r="J27" s="5"/>
      <c r="K27" s="5"/>
      <c r="L27" s="5"/>
      <c r="M27" s="5"/>
      <c r="N27" s="5"/>
      <c r="O27" s="13"/>
      <c r="P27" s="5"/>
      <c r="Q27" s="21"/>
    </row>
    <row r="28" spans="2:17" ht="14.25" thickBot="1" x14ac:dyDescent="0.2">
      <c r="B28" s="20"/>
      <c r="C28" s="14" t="s">
        <v>44</v>
      </c>
      <c r="D28" s="14"/>
      <c r="E28" s="11" t="s">
        <v>45</v>
      </c>
      <c r="F28" s="7">
        <f>O18</f>
        <v>28.83759652943565</v>
      </c>
      <c r="G28" s="5" t="s">
        <v>30</v>
      </c>
      <c r="H28" s="5" t="s">
        <v>46</v>
      </c>
      <c r="I28" s="15" t="e">
        <f>O25</f>
        <v>#DIV/0!</v>
      </c>
      <c r="J28" s="16" t="s">
        <v>47</v>
      </c>
      <c r="K28" s="5" t="s">
        <v>48</v>
      </c>
      <c r="L28" s="7">
        <f>O18</f>
        <v>28.83759652943565</v>
      </c>
      <c r="M28" s="5" t="s">
        <v>30</v>
      </c>
      <c r="N28" s="5" t="s">
        <v>49</v>
      </c>
      <c r="O28" s="57" t="e">
        <f>(F28-I28)/L28</f>
        <v>#DIV/0!</v>
      </c>
      <c r="P28" s="5" t="s">
        <v>36</v>
      </c>
      <c r="Q28" s="21"/>
    </row>
    <row r="29" spans="2:17" x14ac:dyDescent="0.15">
      <c r="B29" s="20"/>
      <c r="C29" s="38" t="s">
        <v>50</v>
      </c>
      <c r="D29" s="38"/>
      <c r="F29" s="5"/>
      <c r="G29" s="5"/>
      <c r="H29" s="5"/>
      <c r="I29" s="5"/>
      <c r="J29" s="5"/>
      <c r="K29" s="5"/>
      <c r="L29" s="5"/>
      <c r="M29" s="5"/>
      <c r="N29" s="5"/>
      <c r="O29" s="5"/>
      <c r="P29" s="5"/>
      <c r="Q29" s="21"/>
    </row>
    <row r="30" spans="2:17" ht="14.25" thickBot="1" x14ac:dyDescent="0.2">
      <c r="B30" s="20"/>
      <c r="C30" s="38"/>
      <c r="D30" s="38"/>
      <c r="F30" s="5"/>
      <c r="G30" s="5"/>
      <c r="H30" s="5"/>
      <c r="I30" s="5"/>
      <c r="J30" s="5"/>
      <c r="K30" s="5"/>
      <c r="L30" s="5"/>
      <c r="M30" s="5"/>
      <c r="N30" s="5"/>
      <c r="O30" s="5"/>
      <c r="P30" s="5"/>
      <c r="Q30" s="21"/>
    </row>
    <row r="31" spans="2:17" ht="14.25" thickBot="1" x14ac:dyDescent="0.2">
      <c r="B31" s="20"/>
      <c r="C31" s="38" t="s">
        <v>51</v>
      </c>
      <c r="D31" s="38"/>
      <c r="F31" s="5"/>
      <c r="G31" s="5"/>
      <c r="H31" s="5"/>
      <c r="I31" s="5"/>
      <c r="J31" s="5"/>
      <c r="K31" s="5"/>
      <c r="L31" s="5"/>
      <c r="M31" s="5"/>
      <c r="N31" s="5"/>
      <c r="O31" s="40" t="e">
        <f>IF(O28&gt;=0.2,"適格","不適")</f>
        <v>#DIV/0!</v>
      </c>
      <c r="P31" s="5"/>
      <c r="Q31" s="21"/>
    </row>
    <row r="32" spans="2:17" x14ac:dyDescent="0.15">
      <c r="B32" s="22"/>
      <c r="C32" s="29"/>
      <c r="D32" s="29"/>
      <c r="E32" s="4"/>
      <c r="F32" s="8"/>
      <c r="G32" s="8"/>
      <c r="H32" s="8"/>
      <c r="I32" s="8"/>
      <c r="J32" s="8"/>
      <c r="K32" s="8"/>
      <c r="L32" s="8"/>
      <c r="M32" s="8"/>
      <c r="N32" s="8"/>
      <c r="O32" s="8"/>
      <c r="P32" s="8"/>
      <c r="Q32" s="23"/>
    </row>
    <row r="33" spans="2:24" x14ac:dyDescent="0.15">
      <c r="F33" s="5"/>
      <c r="G33" s="5"/>
      <c r="H33" s="5"/>
      <c r="I33" s="5"/>
      <c r="J33" s="5"/>
      <c r="K33" s="5"/>
      <c r="L33" s="5"/>
      <c r="M33" s="5"/>
      <c r="N33" s="5"/>
      <c r="O33" s="5"/>
      <c r="P33" s="5"/>
      <c r="X33" s="16"/>
    </row>
    <row r="34" spans="2:24" ht="17.25" x14ac:dyDescent="0.15">
      <c r="B34" s="17"/>
      <c r="C34" s="28" t="s">
        <v>52</v>
      </c>
      <c r="D34" s="28"/>
      <c r="E34" s="18"/>
      <c r="F34" s="24"/>
      <c r="G34" s="24"/>
      <c r="H34" s="24"/>
      <c r="I34" s="24"/>
      <c r="J34" s="24"/>
      <c r="K34" s="24"/>
      <c r="L34" s="24"/>
      <c r="M34" s="24"/>
      <c r="N34" s="24"/>
      <c r="O34" s="24"/>
      <c r="P34" s="24"/>
      <c r="Q34" s="19"/>
    </row>
    <row r="35" spans="2:24" ht="14.25" thickBot="1" x14ac:dyDescent="0.2">
      <c r="B35" s="20"/>
      <c r="F35" s="5"/>
      <c r="G35" s="5"/>
      <c r="H35" s="5"/>
      <c r="I35" s="5"/>
      <c r="J35" s="5"/>
      <c r="K35" s="5"/>
      <c r="L35" s="5"/>
      <c r="M35" s="5"/>
      <c r="N35" s="5"/>
      <c r="O35" s="5"/>
      <c r="P35" s="5"/>
      <c r="Q35" s="21"/>
    </row>
    <row r="36" spans="2:24" ht="14.25" thickBot="1" x14ac:dyDescent="0.2">
      <c r="B36" s="20"/>
      <c r="C36" t="s">
        <v>53</v>
      </c>
      <c r="F36" s="5"/>
      <c r="G36" s="5"/>
      <c r="H36" s="5"/>
      <c r="K36" s="5"/>
      <c r="L36" s="5"/>
      <c r="M36" s="5"/>
      <c r="N36" s="5"/>
      <c r="O36" s="225">
        <f>機器費用/1000</f>
        <v>0</v>
      </c>
      <c r="P36" s="5" t="s">
        <v>15</v>
      </c>
      <c r="Q36" s="21"/>
    </row>
    <row r="37" spans="2:24" ht="14.25" thickBot="1" x14ac:dyDescent="0.2">
      <c r="B37" s="20"/>
      <c r="C37" t="s">
        <v>54</v>
      </c>
      <c r="F37" s="5"/>
      <c r="G37" s="5"/>
      <c r="H37" s="5"/>
      <c r="I37" s="5"/>
      <c r="J37" s="5"/>
      <c r="K37" s="5"/>
      <c r="L37" s="5"/>
      <c r="M37" s="5"/>
      <c r="N37" s="5"/>
      <c r="O37" s="225">
        <f>設定費用/1000</f>
        <v>0</v>
      </c>
      <c r="P37" s="5" t="s">
        <v>15</v>
      </c>
      <c r="Q37" s="21"/>
    </row>
    <row r="38" spans="2:24" x14ac:dyDescent="0.15">
      <c r="B38" s="20"/>
      <c r="C38" s="4" t="s">
        <v>55</v>
      </c>
      <c r="D38" s="4"/>
      <c r="E38" s="4"/>
      <c r="F38" s="8"/>
      <c r="G38" s="8"/>
      <c r="H38" s="8"/>
      <c r="I38" s="10">
        <f>'利用が想定される中小企業（小売業）'!$F$4</f>
        <v>1.6679999999999999</v>
      </c>
      <c r="J38" s="8" t="s">
        <v>56</v>
      </c>
      <c r="K38" s="8" t="s">
        <v>27</v>
      </c>
      <c r="L38" s="77">
        <f>IF(製品区分=凡例!D11,8,16)</f>
        <v>8</v>
      </c>
      <c r="M38" s="8" t="s">
        <v>57</v>
      </c>
      <c r="N38" s="8" t="s">
        <v>29</v>
      </c>
      <c r="O38" s="87">
        <f>L38*I38</f>
        <v>13.343999999999999</v>
      </c>
      <c r="P38" s="8" t="s">
        <v>58</v>
      </c>
      <c r="Q38" s="21"/>
    </row>
    <row r="39" spans="2:24" x14ac:dyDescent="0.15">
      <c r="B39" s="20"/>
      <c r="C39" t="s">
        <v>59</v>
      </c>
      <c r="F39" s="5"/>
      <c r="G39" s="5"/>
      <c r="H39" s="5"/>
      <c r="I39" s="5"/>
      <c r="J39" s="5"/>
      <c r="K39" s="5"/>
      <c r="L39" s="5"/>
      <c r="M39" s="5"/>
      <c r="N39" s="5"/>
      <c r="O39" s="25">
        <f>SUM(O36:O38)</f>
        <v>13.343999999999999</v>
      </c>
      <c r="P39" s="5" t="s">
        <v>58</v>
      </c>
      <c r="Q39" s="21"/>
    </row>
    <row r="40" spans="2:24" x14ac:dyDescent="0.15">
      <c r="B40" s="20"/>
      <c r="F40" s="5"/>
      <c r="G40" s="5"/>
      <c r="H40" s="5"/>
      <c r="I40" s="5"/>
      <c r="J40" s="5"/>
      <c r="K40" s="5"/>
      <c r="L40" s="5"/>
      <c r="M40" s="5"/>
      <c r="N40" s="5"/>
      <c r="O40" s="26"/>
      <c r="P40" s="5"/>
      <c r="Q40" s="21"/>
    </row>
    <row r="41" spans="2:24" x14ac:dyDescent="0.15">
      <c r="B41" s="20"/>
      <c r="C41" t="s">
        <v>60</v>
      </c>
      <c r="F41" s="6">
        <f>'利用が想定される中小企業（小売業）'!$F$4</f>
        <v>1.6679999999999999</v>
      </c>
      <c r="G41" s="5" t="s">
        <v>56</v>
      </c>
      <c r="H41" s="5" t="s">
        <v>27</v>
      </c>
      <c r="I41" s="15" t="e">
        <f>(O18-O25)/'利用が想定される中小企業（小売業）'!$F$12</f>
        <v>#DIV/0!</v>
      </c>
      <c r="J41" s="5" t="s">
        <v>61</v>
      </c>
      <c r="K41" s="5" t="s">
        <v>27</v>
      </c>
      <c r="L41" s="53">
        <f>'利用が想定される中小企業（小売業）'!$F$8</f>
        <v>300</v>
      </c>
      <c r="M41" s="5" t="s">
        <v>62</v>
      </c>
      <c r="N41" s="5" t="s">
        <v>29</v>
      </c>
      <c r="O41" s="25" t="e">
        <f>F41*I41*L41</f>
        <v>#DIV/0!</v>
      </c>
      <c r="P41" s="5" t="s">
        <v>63</v>
      </c>
      <c r="Q41" s="21"/>
    </row>
    <row r="42" spans="2:24" x14ac:dyDescent="0.15">
      <c r="B42" s="20"/>
      <c r="C42" s="4" t="s">
        <v>64</v>
      </c>
      <c r="D42" s="4"/>
      <c r="E42" s="4"/>
      <c r="F42" s="4"/>
      <c r="G42" s="8"/>
      <c r="H42" s="8"/>
      <c r="I42" s="10">
        <f>'利用が想定される中小企業（小売業）'!$F$5</f>
        <v>70</v>
      </c>
      <c r="J42" s="8" t="s">
        <v>65</v>
      </c>
      <c r="K42" s="8" t="s">
        <v>27</v>
      </c>
      <c r="L42" s="76" t="e">
        <f>(O18-O25)/8/'利用が想定される中小企業（小売業）'!$F$12</f>
        <v>#DIV/0!</v>
      </c>
      <c r="M42" s="8" t="s">
        <v>66</v>
      </c>
      <c r="N42" s="8" t="s">
        <v>29</v>
      </c>
      <c r="O42" s="86" t="e">
        <f>I42*L42</f>
        <v>#DIV/0!</v>
      </c>
      <c r="P42" s="8" t="s">
        <v>63</v>
      </c>
      <c r="Q42" s="21"/>
    </row>
    <row r="43" spans="2:24" x14ac:dyDescent="0.15">
      <c r="B43" s="20"/>
      <c r="C43" t="s">
        <v>67</v>
      </c>
      <c r="F43" s="5"/>
      <c r="G43" s="5"/>
      <c r="H43" s="5"/>
      <c r="I43" s="56"/>
      <c r="J43" s="5"/>
      <c r="K43" s="5"/>
      <c r="L43" s="5"/>
      <c r="M43" s="5"/>
      <c r="N43" s="5"/>
      <c r="O43" s="25" t="e">
        <f>SUM(O41:O42)</f>
        <v>#DIV/0!</v>
      </c>
      <c r="P43" s="5" t="s">
        <v>63</v>
      </c>
      <c r="Q43" s="21"/>
    </row>
    <row r="44" spans="2:24" ht="14.25" thickBot="1" x14ac:dyDescent="0.2">
      <c r="B44" s="20"/>
      <c r="F44" s="5"/>
      <c r="G44" s="5"/>
      <c r="H44" s="5"/>
      <c r="I44" s="5"/>
      <c r="J44" s="5"/>
      <c r="K44" s="5"/>
      <c r="L44" s="5"/>
      <c r="M44" s="5"/>
      <c r="N44" s="5"/>
      <c r="O44" s="26"/>
      <c r="P44" s="5"/>
      <c r="Q44" s="21"/>
    </row>
    <row r="45" spans="2:24" ht="14.25" thickBot="1" x14ac:dyDescent="0.2">
      <c r="B45" s="20"/>
      <c r="C45" s="14" t="s">
        <v>68</v>
      </c>
      <c r="D45" s="14"/>
      <c r="E45" s="5"/>
      <c r="F45" s="5"/>
      <c r="G45" s="5"/>
      <c r="H45" s="5"/>
      <c r="I45" s="27">
        <f>O39</f>
        <v>13.343999999999999</v>
      </c>
      <c r="J45" s="5" t="s">
        <v>15</v>
      </c>
      <c r="K45" s="5" t="s">
        <v>48</v>
      </c>
      <c r="L45" s="25" t="e">
        <f>O43</f>
        <v>#DIV/0!</v>
      </c>
      <c r="M45" s="5" t="s">
        <v>63</v>
      </c>
      <c r="N45" s="5" t="s">
        <v>29</v>
      </c>
      <c r="O45" s="32" t="e">
        <f>I45/L45</f>
        <v>#DIV/0!</v>
      </c>
      <c r="P45" s="5" t="s">
        <v>69</v>
      </c>
      <c r="Q45" s="21"/>
    </row>
    <row r="46" spans="2:24" x14ac:dyDescent="0.15">
      <c r="B46" s="20"/>
      <c r="C46" s="38" t="s">
        <v>70</v>
      </c>
      <c r="D46" s="14"/>
      <c r="F46" s="5"/>
      <c r="G46" s="5"/>
      <c r="H46" s="5"/>
      <c r="I46" s="39"/>
      <c r="J46" s="5"/>
      <c r="K46" s="5"/>
      <c r="L46" s="5"/>
      <c r="M46" s="5"/>
      <c r="N46" s="5"/>
      <c r="O46" s="13"/>
      <c r="P46" s="5"/>
      <c r="Q46" s="21"/>
    </row>
    <row r="47" spans="2:24" ht="14.25" thickBot="1" x14ac:dyDescent="0.2">
      <c r="B47" s="20"/>
      <c r="C47" s="38"/>
      <c r="D47" s="14"/>
      <c r="F47" s="5"/>
      <c r="G47" s="5"/>
      <c r="H47" s="5"/>
      <c r="I47" s="39"/>
      <c r="J47" s="5"/>
      <c r="K47" s="5"/>
      <c r="L47" s="5"/>
      <c r="M47" s="5"/>
      <c r="N47" s="5"/>
      <c r="O47" s="13"/>
      <c r="P47" s="5"/>
      <c r="Q47" s="21"/>
    </row>
    <row r="48" spans="2:24" ht="14.25" thickBot="1" x14ac:dyDescent="0.2">
      <c r="B48" s="20"/>
      <c r="C48" s="38" t="s">
        <v>51</v>
      </c>
      <c r="D48" s="14"/>
      <c r="F48" s="5"/>
      <c r="G48" s="5"/>
      <c r="H48" s="5"/>
      <c r="I48" s="39"/>
      <c r="J48" s="5"/>
      <c r="K48" s="5"/>
      <c r="L48" s="5"/>
      <c r="M48" s="5"/>
      <c r="N48" s="5"/>
      <c r="O48" s="32" t="e">
        <f>IF(O45&lt;4,"適格","不適")</f>
        <v>#DIV/0!</v>
      </c>
      <c r="P48" s="5"/>
      <c r="Q48" s="21"/>
    </row>
    <row r="49" spans="2:18" x14ac:dyDescent="0.15">
      <c r="B49" s="22"/>
      <c r="C49" s="29"/>
      <c r="D49" s="29"/>
      <c r="E49" s="4"/>
      <c r="F49" s="4"/>
      <c r="G49" s="4"/>
      <c r="H49" s="4"/>
      <c r="I49" s="4"/>
      <c r="J49" s="4"/>
      <c r="K49" s="4"/>
      <c r="L49" s="4"/>
      <c r="M49" s="4"/>
      <c r="N49" s="4"/>
      <c r="O49" s="4"/>
      <c r="P49" s="4"/>
      <c r="Q49" s="23"/>
    </row>
    <row r="50" spans="2:18" x14ac:dyDescent="0.15">
      <c r="R50" s="33" t="s">
        <v>17</v>
      </c>
    </row>
  </sheetData>
  <sheetProtection algorithmName="SHA-512" hashValue="eUsagsnIGlEQxPAo1iBsNgVPNujl3bk/onbPagGVeZU0g618bUgJHIpVdiHGgW2IgA8T8CtGJyETCmewnsirBg==" saltValue="MCkrLFOG3OKpkmXJwafKxg==" spinCount="100000" sheet="1" objects="1" scenarios="1"/>
  <mergeCells count="5">
    <mergeCell ref="C2:P2"/>
    <mergeCell ref="N4:P4"/>
    <mergeCell ref="D6:M6"/>
    <mergeCell ref="D7:M7"/>
    <mergeCell ref="D11:H11"/>
  </mergeCells>
  <phoneticPr fontId="1"/>
  <pageMargins left="0.7" right="0.7" top="0.75" bottom="0.75" header="0.3" footer="0.3"/>
  <pageSetup paperSize="9" scale="5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AF4F1-9731-4637-8CB7-46205E155011}">
  <sheetPr codeName="Sheet20">
    <pageSetUpPr fitToPage="1"/>
  </sheetPr>
  <dimension ref="A1:I19"/>
  <sheetViews>
    <sheetView view="pageBreakPreview" zoomScaleNormal="100" zoomScaleSheetLayoutView="100" workbookViewId="0">
      <selection sqref="A1:B1"/>
    </sheetView>
  </sheetViews>
  <sheetFormatPr defaultRowHeight="13.5" x14ac:dyDescent="0.15"/>
  <cols>
    <col min="1" max="1" width="3.875" bestFit="1" customWidth="1"/>
    <col min="2" max="2" width="31.375" bestFit="1" customWidth="1"/>
    <col min="3" max="3" width="10.375" bestFit="1" customWidth="1"/>
    <col min="4" max="6" width="10.625" customWidth="1"/>
    <col min="7" max="7" width="50.625" customWidth="1"/>
    <col min="8" max="9" width="9.125" bestFit="1" customWidth="1"/>
  </cols>
  <sheetData>
    <row r="1" spans="1:9" s="5" customFormat="1" x14ac:dyDescent="0.15">
      <c r="A1" s="556" t="s">
        <v>73</v>
      </c>
      <c r="B1" s="557"/>
      <c r="C1" s="66"/>
      <c r="D1" s="556" t="s">
        <v>74</v>
      </c>
      <c r="E1" s="558"/>
      <c r="F1" s="558"/>
      <c r="G1" s="55" t="s">
        <v>75</v>
      </c>
    </row>
    <row r="2" spans="1:9" s="5" customFormat="1" x14ac:dyDescent="0.15">
      <c r="A2" s="559"/>
      <c r="B2" s="560"/>
      <c r="C2" s="67" t="s">
        <v>76</v>
      </c>
      <c r="D2" s="68" t="s">
        <v>77</v>
      </c>
      <c r="E2" s="68" t="s">
        <v>78</v>
      </c>
      <c r="F2" s="68" t="s">
        <v>79</v>
      </c>
      <c r="G2" s="61"/>
    </row>
    <row r="3" spans="1:9" ht="45" customHeight="1" x14ac:dyDescent="0.15">
      <c r="A3" s="46" t="str">
        <f t="shared" ref="A3:A12" si="0">"("&amp;ROW()-2&amp;")"</f>
        <v>(1)</v>
      </c>
      <c r="B3" s="42" t="s">
        <v>4</v>
      </c>
      <c r="C3" s="70"/>
      <c r="D3" s="553" t="s">
        <v>126</v>
      </c>
      <c r="E3" s="554"/>
      <c r="F3" s="555"/>
      <c r="G3" s="49" t="s">
        <v>81</v>
      </c>
    </row>
    <row r="4" spans="1:9" ht="45" customHeight="1" x14ac:dyDescent="0.15">
      <c r="A4" s="47" t="str">
        <f t="shared" si="0"/>
        <v>(2)</v>
      </c>
      <c r="B4" s="44" t="s">
        <v>110</v>
      </c>
      <c r="C4" s="44" t="s">
        <v>111</v>
      </c>
      <c r="D4" s="47">
        <v>1.6679999999999999</v>
      </c>
      <c r="E4" s="47">
        <v>1.6679999999999999</v>
      </c>
      <c r="F4" s="47">
        <v>1.6679999999999999</v>
      </c>
      <c r="G4" s="43" t="s">
        <v>112</v>
      </c>
    </row>
    <row r="5" spans="1:9" ht="45" customHeight="1" x14ac:dyDescent="0.15">
      <c r="A5" s="47" t="str">
        <f t="shared" si="0"/>
        <v>(3)</v>
      </c>
      <c r="B5" s="44" t="s">
        <v>113</v>
      </c>
      <c r="C5" s="44" t="s">
        <v>111</v>
      </c>
      <c r="D5" s="47">
        <v>70</v>
      </c>
      <c r="E5" s="47">
        <v>70</v>
      </c>
      <c r="F5" s="47">
        <v>70</v>
      </c>
      <c r="G5" s="43" t="s">
        <v>87</v>
      </c>
    </row>
    <row r="6" spans="1:9" ht="45" customHeight="1" x14ac:dyDescent="0.15">
      <c r="A6" s="47" t="str">
        <f t="shared" si="0"/>
        <v>(4)</v>
      </c>
      <c r="B6" s="44" t="s">
        <v>114</v>
      </c>
      <c r="C6" s="44" t="s">
        <v>89</v>
      </c>
      <c r="D6" s="73">
        <v>2.2362297367962349</v>
      </c>
      <c r="E6" s="73">
        <v>9.3277463651050088</v>
      </c>
      <c r="F6" s="73">
        <v>17.856392294220665</v>
      </c>
      <c r="G6" s="51" t="s">
        <v>127</v>
      </c>
    </row>
    <row r="7" spans="1:9" ht="45" customHeight="1" x14ac:dyDescent="0.15">
      <c r="A7" s="47" t="str">
        <f t="shared" si="0"/>
        <v>(5)</v>
      </c>
      <c r="B7" s="44" t="s">
        <v>116</v>
      </c>
      <c r="C7" s="44" t="s">
        <v>89</v>
      </c>
      <c r="D7" s="73">
        <f>D6</f>
        <v>2.2362297367962349</v>
      </c>
      <c r="E7" s="73">
        <f>E6*(1/2)</f>
        <v>4.6638731825525044</v>
      </c>
      <c r="F7" s="73">
        <f>F6*(1/2)</f>
        <v>8.9281961471103326</v>
      </c>
      <c r="G7" s="51" t="s">
        <v>128</v>
      </c>
    </row>
    <row r="8" spans="1:9" ht="45" customHeight="1" x14ac:dyDescent="0.15">
      <c r="A8" s="47" t="str">
        <f t="shared" si="0"/>
        <v>(6)</v>
      </c>
      <c r="B8" s="44" t="s">
        <v>91</v>
      </c>
      <c r="C8" s="44" t="s">
        <v>92</v>
      </c>
      <c r="D8" s="69">
        <v>300</v>
      </c>
      <c r="E8" s="69">
        <v>300</v>
      </c>
      <c r="F8" s="69">
        <v>300</v>
      </c>
      <c r="G8" s="51"/>
    </row>
    <row r="9" spans="1:9" ht="45" customHeight="1" x14ac:dyDescent="0.15">
      <c r="A9" s="47" t="str">
        <f t="shared" si="0"/>
        <v>(7)</v>
      </c>
      <c r="B9" s="59" t="s">
        <v>93</v>
      </c>
      <c r="C9" s="59" t="s">
        <v>94</v>
      </c>
      <c r="D9" s="71">
        <f>4*(SQRT(D7*635/12))</f>
        <v>43.512540458517769</v>
      </c>
      <c r="E9" s="71">
        <f>4*(SQRT(E7*635/12))</f>
        <v>62.839048061120302</v>
      </c>
      <c r="F9" s="71">
        <f>4*(SQRT(F7*635/12))</f>
        <v>86.943694833035948</v>
      </c>
      <c r="G9" s="51" t="s">
        <v>118</v>
      </c>
    </row>
    <row r="10" spans="1:9" ht="45" customHeight="1" x14ac:dyDescent="0.15">
      <c r="A10" s="47" t="str">
        <f t="shared" si="0"/>
        <v>(8)</v>
      </c>
      <c r="B10" s="59" t="s">
        <v>96</v>
      </c>
      <c r="C10" s="59" t="s">
        <v>94</v>
      </c>
      <c r="D10" s="74">
        <f>D9/2</f>
        <v>21.756270229258885</v>
      </c>
      <c r="E10" s="74">
        <f>E9/2</f>
        <v>31.419524030560151</v>
      </c>
      <c r="F10" s="74">
        <f>F9/2</f>
        <v>43.471847416517974</v>
      </c>
      <c r="G10" s="60"/>
    </row>
    <row r="11" spans="1:9" ht="45" customHeight="1" x14ac:dyDescent="0.15">
      <c r="A11" s="58" t="str">
        <f t="shared" si="0"/>
        <v>(9)</v>
      </c>
      <c r="B11" s="59" t="s">
        <v>99</v>
      </c>
      <c r="C11" s="59" t="s">
        <v>100</v>
      </c>
      <c r="D11" s="74">
        <f>4734000/D8*D7/2</f>
        <v>17643.852623322295</v>
      </c>
      <c r="E11" s="74">
        <f>4734000/E8*E7/2</f>
        <v>36797.959410339259</v>
      </c>
      <c r="F11" s="74">
        <f>4734000/F8*F7/2</f>
        <v>70443.467600700518</v>
      </c>
      <c r="G11" s="60" t="s">
        <v>119</v>
      </c>
    </row>
    <row r="12" spans="1:9" ht="45" customHeight="1" x14ac:dyDescent="0.15">
      <c r="A12" s="48" t="str">
        <f t="shared" si="0"/>
        <v>(10)</v>
      </c>
      <c r="B12" s="45" t="s">
        <v>120</v>
      </c>
      <c r="C12" s="45" t="s">
        <v>121</v>
      </c>
      <c r="D12" s="48" t="e">
        <f>IF((D11*D10)/(((最大搬送重量*0.8)*(3600/60+((3600/60)/2))/2*60)*8)&lt;1,ROUNDUP((D11*D10)/(((最大搬送重量*0.8)*(3600/60+((3600/60)/2))/2*60)*8),0),ROUND((D11*D10)/(((最大搬送重量*0.8)*(3600/60+((3600/60)/2))/2*60)*8),0))</f>
        <v>#DIV/0!</v>
      </c>
      <c r="E12" s="48" t="e">
        <f>IF((E11*E10)/(((最大搬送重量*0.8)*(3600/60+((3600/60)/2))/2*60)*8)&lt;1,ROUNDUP((E11*E10)/(((最大搬送重量*0.8)*(3600/60+((3600/60)/2))/2*60)*8),0),ROUND((E11*E10)/(((最大搬送重量*0.8)*(3600/60+((3600/60)/2))/2*60)*8),0))</f>
        <v>#DIV/0!</v>
      </c>
      <c r="F12" s="48" t="e">
        <f>IF((F11*F10)/(((最大搬送重量*0.8)*(3600/60+((3600/60)/2))/2*60)*8)&lt;1,ROUNDUP((F11*F10)/(((最大搬送重量*0.8)*(3600/60+((3600/60)/2))/2*60)*8),0),ROUND((F11*F10)/(((最大搬送重量*0.8)*(3600/60+((3600/60)/2))/2*60)*8),0))</f>
        <v>#DIV/0!</v>
      </c>
      <c r="G12" s="50" t="s">
        <v>122</v>
      </c>
    </row>
    <row r="13" spans="1:9" ht="15.75" x14ac:dyDescent="0.15">
      <c r="H13" s="63"/>
      <c r="I13" s="63"/>
    </row>
    <row r="14" spans="1:9" ht="15.75" x14ac:dyDescent="0.15">
      <c r="H14" s="63"/>
      <c r="I14" s="63"/>
    </row>
    <row r="15" spans="1:9" ht="15.75" x14ac:dyDescent="0.15">
      <c r="H15" s="63"/>
      <c r="I15" s="63"/>
    </row>
    <row r="16" spans="1:9" ht="15.75" x14ac:dyDescent="0.15">
      <c r="H16" s="63"/>
      <c r="I16" s="63"/>
    </row>
    <row r="17" spans="8:9" ht="15.75" x14ac:dyDescent="0.15">
      <c r="H17" s="64"/>
      <c r="I17" s="64"/>
    </row>
    <row r="18" spans="8:9" ht="15.75" x14ac:dyDescent="0.15">
      <c r="H18" s="63"/>
      <c r="I18" s="63"/>
    </row>
    <row r="19" spans="8:9" ht="15.75" x14ac:dyDescent="0.15">
      <c r="H19" s="63"/>
      <c r="I19" s="63"/>
    </row>
  </sheetData>
  <sheetProtection algorithmName="SHA-512" hashValue="l6Q8O+SK/PrSzd4H03xfYuwJMFo2J/5VpnFjrKIx3wo8U1khQJk2miH9++VczaXwBcT10so5K5zgZtiqLxiacQ==" saltValue="fuOJMfEK+c1KUNi6Bmgi4g==" spinCount="100000" sheet="1" objects="1" scenarios="1"/>
  <mergeCells count="4">
    <mergeCell ref="A1:B1"/>
    <mergeCell ref="D1:F1"/>
    <mergeCell ref="A2:B2"/>
    <mergeCell ref="D3:F3"/>
  </mergeCells>
  <phoneticPr fontId="1"/>
  <pageMargins left="0.7" right="0.7" top="0.75" bottom="0.75" header="0.3" footer="0.3"/>
  <pageSetup paperSize="9" scale="6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A8D84-7097-4767-B707-A81DC3D78C96}">
  <sheetPr codeName="Sheet22">
    <pageSetUpPr fitToPage="1"/>
  </sheetPr>
  <dimension ref="B2:X50"/>
  <sheetViews>
    <sheetView view="pageBreakPreview" zoomScale="85" zoomScaleNormal="100" zoomScaleSheetLayoutView="85" workbookViewId="0"/>
  </sheetViews>
  <sheetFormatPr defaultRowHeight="13.5" x14ac:dyDescent="0.15"/>
  <cols>
    <col min="1" max="2" width="2.75" customWidth="1"/>
    <col min="3" max="3" width="28.125" customWidth="1"/>
    <col min="4" max="4" width="10.375" customWidth="1"/>
    <col min="5" max="5" width="2.375" customWidth="1"/>
    <col min="6" max="6" width="9.375" customWidth="1"/>
    <col min="7" max="7" width="11.375" customWidth="1"/>
    <col min="8" max="8" width="3.375" customWidth="1"/>
    <col min="9" max="9" width="9.375" customWidth="1"/>
    <col min="10" max="10" width="9.25" customWidth="1"/>
    <col min="11" max="11" width="3.375" bestFit="1" customWidth="1"/>
    <col min="12" max="13" width="9.375" customWidth="1"/>
    <col min="14" max="14" width="3.375" bestFit="1" customWidth="1"/>
    <col min="15" max="16" width="9.375" customWidth="1"/>
    <col min="17" max="18" width="2.875" customWidth="1"/>
  </cols>
  <sheetData>
    <row r="2" spans="2:17" ht="24" x14ac:dyDescent="0.15">
      <c r="C2" s="268" t="s">
        <v>20</v>
      </c>
      <c r="D2" s="268"/>
      <c r="E2" s="268"/>
      <c r="F2" s="268"/>
      <c r="G2" s="268"/>
      <c r="H2" s="268"/>
      <c r="I2" s="268"/>
      <c r="J2" s="268"/>
      <c r="K2" s="268"/>
      <c r="L2" s="268"/>
      <c r="M2" s="268"/>
      <c r="N2" s="268"/>
      <c r="O2" s="268"/>
      <c r="P2" s="268"/>
    </row>
    <row r="3" spans="2:17" ht="7.5" customHeight="1" x14ac:dyDescent="0.15">
      <c r="C3" s="34"/>
      <c r="D3" s="34"/>
      <c r="E3" s="34"/>
      <c r="F3" s="34"/>
      <c r="G3" s="34"/>
      <c r="H3" s="34"/>
      <c r="I3" s="34"/>
      <c r="J3" s="34"/>
      <c r="K3" s="34"/>
      <c r="L3" s="34"/>
      <c r="M3" s="34"/>
      <c r="N3" s="34"/>
      <c r="O3" s="34"/>
      <c r="P3" s="34"/>
    </row>
    <row r="4" spans="2:17" ht="15" customHeight="1" x14ac:dyDescent="0.15">
      <c r="C4" s="140" t="str">
        <f>"【"&amp;製品カテゴリ&amp;"】"</f>
        <v>【AGV・AMR】</v>
      </c>
      <c r="D4" s="34"/>
      <c r="E4" s="34"/>
      <c r="F4" s="34"/>
      <c r="G4" s="34"/>
      <c r="H4" s="34"/>
      <c r="I4" s="34"/>
      <c r="J4" s="34"/>
      <c r="K4" s="35"/>
      <c r="L4" s="35"/>
      <c r="M4" s="35"/>
      <c r="N4" s="547" t="s">
        <v>21</v>
      </c>
      <c r="O4" s="547"/>
      <c r="P4" s="547"/>
    </row>
    <row r="5" spans="2:17" ht="7.5" customHeight="1" x14ac:dyDescent="0.15">
      <c r="C5" s="34"/>
      <c r="D5" s="34"/>
      <c r="E5" s="34"/>
      <c r="F5" s="34"/>
      <c r="G5" s="34"/>
      <c r="H5" s="34"/>
      <c r="I5" s="34"/>
      <c r="J5" s="34"/>
      <c r="K5" s="34"/>
      <c r="L5" s="34"/>
      <c r="M5" s="34"/>
      <c r="N5" s="34"/>
      <c r="O5" s="34"/>
      <c r="P5" s="34"/>
    </row>
    <row r="6" spans="2:17" x14ac:dyDescent="0.15">
      <c r="C6" s="11" t="s">
        <v>0</v>
      </c>
      <c r="D6" s="551">
        <f>製造事業者名</f>
        <v>0</v>
      </c>
      <c r="E6" s="551"/>
      <c r="F6" s="551"/>
      <c r="G6" s="551"/>
      <c r="H6" s="551"/>
      <c r="I6" s="551"/>
      <c r="J6" s="551"/>
      <c r="K6" s="551"/>
      <c r="L6" s="551"/>
      <c r="M6" s="551"/>
    </row>
    <row r="7" spans="2:17" x14ac:dyDescent="0.15">
      <c r="C7" s="11" t="s">
        <v>1</v>
      </c>
      <c r="D7" s="551">
        <f>型番</f>
        <v>0</v>
      </c>
      <c r="E7" s="551"/>
      <c r="F7" s="551"/>
      <c r="G7" s="551"/>
      <c r="H7" s="551"/>
      <c r="I7" s="551"/>
      <c r="J7" s="551"/>
      <c r="K7" s="551"/>
      <c r="L7" s="551"/>
      <c r="M7" s="551"/>
    </row>
    <row r="9" spans="2:17" x14ac:dyDescent="0.15">
      <c r="C9" s="1" t="s">
        <v>444</v>
      </c>
      <c r="D9" s="1"/>
    </row>
    <row r="10" spans="2:17" x14ac:dyDescent="0.15">
      <c r="C10" s="1"/>
      <c r="D10" s="1"/>
    </row>
    <row r="11" spans="2:17" x14ac:dyDescent="0.15">
      <c r="C11" s="37" t="s">
        <v>22</v>
      </c>
      <c r="D11" s="548" t="s">
        <v>23</v>
      </c>
      <c r="E11" s="549"/>
      <c r="F11" s="549"/>
      <c r="G11" s="549"/>
      <c r="H11" s="550"/>
    </row>
    <row r="13" spans="2:17" ht="17.25" x14ac:dyDescent="0.15">
      <c r="B13" s="17"/>
      <c r="C13" s="28" t="s">
        <v>24</v>
      </c>
      <c r="D13" s="28"/>
      <c r="E13" s="18"/>
      <c r="F13" s="18"/>
      <c r="G13" s="18"/>
      <c r="H13" s="18"/>
      <c r="I13" s="18"/>
      <c r="J13" s="18"/>
      <c r="K13" s="18"/>
      <c r="L13" s="18"/>
      <c r="M13" s="18"/>
      <c r="N13" s="18"/>
      <c r="O13" s="18"/>
      <c r="P13" s="18"/>
      <c r="Q13" s="19"/>
    </row>
    <row r="14" spans="2:17" x14ac:dyDescent="0.15">
      <c r="B14" s="20"/>
      <c r="C14" s="12"/>
      <c r="D14" s="12"/>
      <c r="Q14" s="21"/>
    </row>
    <row r="15" spans="2:17" x14ac:dyDescent="0.15">
      <c r="B15" s="20"/>
      <c r="C15" t="s">
        <v>25</v>
      </c>
      <c r="F15" s="53">
        <f>'利用が想定される中小企業（製造業）'!$D$10</f>
        <v>2</v>
      </c>
      <c r="G15" s="5" t="s">
        <v>129</v>
      </c>
      <c r="H15" s="5" t="s">
        <v>27</v>
      </c>
      <c r="I15" s="72">
        <f>'利用が想定される中小企業（製造業）'!$D$9/((4*1000/60)/2)</f>
        <v>1.6323602543556368</v>
      </c>
      <c r="J15" s="5" t="s">
        <v>26</v>
      </c>
      <c r="K15" s="5" t="s">
        <v>27</v>
      </c>
      <c r="L15" s="53">
        <f>'利用が想定される中小企業（製造業）'!$D$11*'利用が想定される中小企業（製造業）'!$D$8*'利用が想定される中小企業（製造業）'!$D$12</f>
        <v>48</v>
      </c>
      <c r="M15" s="5" t="s">
        <v>28</v>
      </c>
      <c r="N15" s="5" t="s">
        <v>29</v>
      </c>
      <c r="O15" s="7">
        <f>F15*I15*L15/60</f>
        <v>2.6117764069690188</v>
      </c>
      <c r="P15" s="5" t="s">
        <v>30</v>
      </c>
      <c r="Q15" s="21"/>
    </row>
    <row r="16" spans="2:17" x14ac:dyDescent="0.15">
      <c r="B16" s="20"/>
      <c r="C16" t="s">
        <v>31</v>
      </c>
      <c r="F16" s="53">
        <f>'利用が想定される中小企業（製造業）'!$D$10</f>
        <v>2</v>
      </c>
      <c r="G16" s="5" t="s">
        <v>129</v>
      </c>
      <c r="H16" s="5" t="s">
        <v>27</v>
      </c>
      <c r="I16" s="72">
        <f>'利用が想定される中小企業（製造業）'!$D$9/(4*1000/60)</f>
        <v>0.8161801271778184</v>
      </c>
      <c r="J16" s="5" t="s">
        <v>26</v>
      </c>
      <c r="K16" s="5" t="s">
        <v>27</v>
      </c>
      <c r="L16" s="53">
        <f>'利用が想定される中小企業（製造業）'!$D$11*'利用が想定される中小企業（製造業）'!$D$8*'利用が想定される中小企業（製造業）'!$D$12</f>
        <v>48</v>
      </c>
      <c r="M16" s="5" t="s">
        <v>28</v>
      </c>
      <c r="N16" s="5" t="s">
        <v>29</v>
      </c>
      <c r="O16" s="7">
        <f>F16*I16*L16/60</f>
        <v>1.3058882034845094</v>
      </c>
      <c r="P16" s="5" t="s">
        <v>30</v>
      </c>
      <c r="Q16" s="21"/>
    </row>
    <row r="17" spans="2:17" x14ac:dyDescent="0.15">
      <c r="B17" s="20"/>
      <c r="C17" s="4" t="s">
        <v>32</v>
      </c>
      <c r="D17" s="4"/>
      <c r="E17" s="4"/>
      <c r="F17" s="10">
        <f>'利用が想定される中小企業（製造業）'!$D$10</f>
        <v>2</v>
      </c>
      <c r="G17" s="8" t="s">
        <v>129</v>
      </c>
      <c r="H17" s="8" t="s">
        <v>27</v>
      </c>
      <c r="I17" s="10">
        <v>0.5</v>
      </c>
      <c r="J17" s="8" t="s">
        <v>26</v>
      </c>
      <c r="K17" s="8" t="s">
        <v>27</v>
      </c>
      <c r="L17" s="54">
        <f>'利用が想定される中小企業（製造業）'!$D$11*'利用が想定される中小企業（製造業）'!$D$8*'利用が想定される中小企業（製造業）'!$D$12</f>
        <v>48</v>
      </c>
      <c r="M17" s="8" t="s">
        <v>28</v>
      </c>
      <c r="N17" s="8" t="s">
        <v>29</v>
      </c>
      <c r="O17" s="9">
        <f>F17*I17*L17/60</f>
        <v>0.8</v>
      </c>
      <c r="P17" s="8" t="s">
        <v>30</v>
      </c>
      <c r="Q17" s="21"/>
    </row>
    <row r="18" spans="2:17" x14ac:dyDescent="0.15">
      <c r="B18" s="20"/>
      <c r="C18" t="s">
        <v>33</v>
      </c>
      <c r="F18" s="5"/>
      <c r="G18" s="5"/>
      <c r="H18" s="5"/>
      <c r="I18" s="5"/>
      <c r="J18" s="5"/>
      <c r="K18" s="5"/>
      <c r="L18" s="5"/>
      <c r="M18" s="5"/>
      <c r="N18" s="5"/>
      <c r="O18" s="7">
        <f>SUM(O15:O17)</f>
        <v>4.7176646104535278</v>
      </c>
      <c r="P18" s="5" t="s">
        <v>30</v>
      </c>
      <c r="Q18" s="21"/>
    </row>
    <row r="19" spans="2:17" x14ac:dyDescent="0.15">
      <c r="B19" s="20"/>
      <c r="C19" t="s">
        <v>34</v>
      </c>
      <c r="F19" s="5"/>
      <c r="G19" s="5"/>
      <c r="H19" s="5"/>
      <c r="I19" s="5"/>
      <c r="J19" s="5"/>
      <c r="K19" s="5"/>
      <c r="L19" s="5"/>
      <c r="M19" s="5"/>
      <c r="N19" s="5"/>
      <c r="O19" s="13"/>
      <c r="P19" s="5"/>
      <c r="Q19" s="21"/>
    </row>
    <row r="20" spans="2:17" x14ac:dyDescent="0.15">
      <c r="B20" s="20"/>
      <c r="F20" s="5"/>
      <c r="G20" s="5"/>
      <c r="H20" s="5"/>
      <c r="I20" s="5"/>
      <c r="J20" s="5"/>
      <c r="K20" s="5"/>
      <c r="L20" s="5"/>
      <c r="M20" s="5"/>
      <c r="N20" s="5"/>
      <c r="O20" s="13"/>
      <c r="P20" s="5"/>
      <c r="Q20" s="21"/>
    </row>
    <row r="21" spans="2:17" x14ac:dyDescent="0.15">
      <c r="B21" s="20"/>
      <c r="C21" t="s">
        <v>105</v>
      </c>
      <c r="F21" s="52">
        <f>IF(人の同伴=凡例!$L$1,1,0)</f>
        <v>0</v>
      </c>
      <c r="G21" s="5" t="s">
        <v>36</v>
      </c>
      <c r="H21" s="5" t="s">
        <v>27</v>
      </c>
      <c r="I21" s="75" t="e">
        <f>('利用が想定される中小企業（製造業）'!$D$9/(60/2)+'利用が想定される中小企業（製造業）'!$D$9/60)*(100/最大搬送重量*0.8)</f>
        <v>#DIV/0!</v>
      </c>
      <c r="J21" s="5" t="s">
        <v>26</v>
      </c>
      <c r="K21" s="5" t="s">
        <v>27</v>
      </c>
      <c r="L21" s="53">
        <f>'利用が想定される中小企業（製造業）'!$D$11*'利用が想定される中小企業（製造業）'!$D$8*'利用が想定される中小企業（製造業）'!$D$12</f>
        <v>48</v>
      </c>
      <c r="M21" s="5" t="s">
        <v>28</v>
      </c>
      <c r="N21" s="5" t="s">
        <v>29</v>
      </c>
      <c r="O21" s="25" t="e">
        <f>F21*I21*L21/60</f>
        <v>#DIV/0!</v>
      </c>
      <c r="P21" s="5" t="s">
        <v>30</v>
      </c>
      <c r="Q21" s="21"/>
    </row>
    <row r="22" spans="2:17" x14ac:dyDescent="0.15">
      <c r="B22" s="20"/>
      <c r="C22" t="s">
        <v>37</v>
      </c>
      <c r="F22" s="52">
        <f>IF(積み下ろし方法=凡例!$N$1,0,1)</f>
        <v>1</v>
      </c>
      <c r="G22" s="5" t="s">
        <v>36</v>
      </c>
      <c r="H22" s="5" t="s">
        <v>27</v>
      </c>
      <c r="I22" s="75" t="e">
        <f>0.5*(100/最大搬送重量*0.8)</f>
        <v>#DIV/0!</v>
      </c>
      <c r="J22" s="5" t="s">
        <v>26</v>
      </c>
      <c r="K22" s="5" t="s">
        <v>27</v>
      </c>
      <c r="L22" s="53">
        <f>'利用が想定される中小企業（製造業）'!$D$11*'利用が想定される中小企業（製造業）'!$D$8*'利用が想定される中小企業（製造業）'!$D$12</f>
        <v>48</v>
      </c>
      <c r="M22" s="5" t="s">
        <v>28</v>
      </c>
      <c r="N22" s="5" t="s">
        <v>29</v>
      </c>
      <c r="O22" s="25" t="e">
        <f>F22*I22*L22/60</f>
        <v>#DIV/0!</v>
      </c>
      <c r="P22" s="5" t="s">
        <v>30</v>
      </c>
      <c r="Q22" s="21"/>
    </row>
    <row r="23" spans="2:17" x14ac:dyDescent="0.15">
      <c r="B23" s="20"/>
      <c r="C23" t="s">
        <v>38</v>
      </c>
      <c r="F23" s="52">
        <f>IF(ルート設定方法=凡例!$N$1,0,1)</f>
        <v>1</v>
      </c>
      <c r="G23" s="5" t="s">
        <v>36</v>
      </c>
      <c r="H23" s="5" t="s">
        <v>27</v>
      </c>
      <c r="I23" s="75" t="e">
        <f>0.25*(100/最大搬送重量*0.8)</f>
        <v>#DIV/0!</v>
      </c>
      <c r="J23" s="5" t="s">
        <v>26</v>
      </c>
      <c r="K23" s="5" t="s">
        <v>27</v>
      </c>
      <c r="L23" s="53">
        <f>'利用が想定される中小企業（製造業）'!$D$11*'利用が想定される中小企業（製造業）'!$D$8*'利用が想定される中小企業（製造業）'!$D$12</f>
        <v>48</v>
      </c>
      <c r="M23" s="5" t="s">
        <v>28</v>
      </c>
      <c r="N23" s="5" t="s">
        <v>29</v>
      </c>
      <c r="O23" s="25" t="e">
        <f>F23*I23*L23/60</f>
        <v>#DIV/0!</v>
      </c>
      <c r="P23" s="5" t="s">
        <v>30</v>
      </c>
      <c r="Q23" s="21"/>
    </row>
    <row r="24" spans="2:17" x14ac:dyDescent="0.15">
      <c r="B24" s="20"/>
      <c r="C24" s="4" t="s">
        <v>39</v>
      </c>
      <c r="D24" s="4"/>
      <c r="E24" s="4"/>
      <c r="F24" s="8"/>
      <c r="G24" s="8"/>
      <c r="H24" s="8"/>
      <c r="I24" s="10">
        <f>(5+30/'利用が想定される中小企業（製造業）'!$D$7)</f>
        <v>5.12</v>
      </c>
      <c r="J24" s="8" t="s">
        <v>40</v>
      </c>
      <c r="K24" s="8" t="s">
        <v>27</v>
      </c>
      <c r="L24" s="10">
        <f>'利用が想定される中小企業（製造業）'!$D$13</f>
        <v>1</v>
      </c>
      <c r="M24" s="8" t="s">
        <v>41</v>
      </c>
      <c r="N24" s="8" t="s">
        <v>29</v>
      </c>
      <c r="O24" s="9">
        <f>(I24*L24)/60</f>
        <v>8.533333333333333E-2</v>
      </c>
      <c r="P24" s="8" t="s">
        <v>30</v>
      </c>
      <c r="Q24" s="21"/>
    </row>
    <row r="25" spans="2:17" x14ac:dyDescent="0.15">
      <c r="B25" s="20"/>
      <c r="C25" t="s">
        <v>42</v>
      </c>
      <c r="F25" s="5"/>
      <c r="G25" s="5"/>
      <c r="H25" s="5"/>
      <c r="I25" s="5"/>
      <c r="J25" s="5"/>
      <c r="K25" s="5"/>
      <c r="L25" s="5"/>
      <c r="M25" s="5"/>
      <c r="N25" s="5"/>
      <c r="O25" s="65" t="e">
        <f>SUM(O21:O24)</f>
        <v>#DIV/0!</v>
      </c>
      <c r="P25" s="5" t="s">
        <v>30</v>
      </c>
      <c r="Q25" s="21"/>
    </row>
    <row r="26" spans="2:17" x14ac:dyDescent="0.15">
      <c r="B26" s="20"/>
      <c r="C26" t="s">
        <v>43</v>
      </c>
      <c r="F26" s="5"/>
      <c r="G26" s="5"/>
      <c r="H26" s="5"/>
      <c r="I26" s="5"/>
      <c r="J26" s="5"/>
      <c r="K26" s="5"/>
      <c r="L26" s="5"/>
      <c r="M26" s="5"/>
      <c r="N26" s="5"/>
      <c r="O26" s="13"/>
      <c r="P26" s="5"/>
      <c r="Q26" s="21"/>
    </row>
    <row r="27" spans="2:17" ht="14.25" thickBot="1" x14ac:dyDescent="0.2">
      <c r="B27" s="20"/>
      <c r="F27" s="5"/>
      <c r="G27" s="5"/>
      <c r="H27" s="5"/>
      <c r="I27" s="5"/>
      <c r="J27" s="5"/>
      <c r="K27" s="5"/>
      <c r="L27" s="5"/>
      <c r="M27" s="5"/>
      <c r="N27" s="5"/>
      <c r="O27" s="13"/>
      <c r="P27" s="5"/>
      <c r="Q27" s="21"/>
    </row>
    <row r="28" spans="2:17" ht="14.25" thickBot="1" x14ac:dyDescent="0.2">
      <c r="B28" s="20"/>
      <c r="C28" s="14" t="s">
        <v>44</v>
      </c>
      <c r="D28" s="14"/>
      <c r="E28" s="11" t="s">
        <v>45</v>
      </c>
      <c r="F28" s="7">
        <f>O18</f>
        <v>4.7176646104535278</v>
      </c>
      <c r="G28" s="5" t="s">
        <v>30</v>
      </c>
      <c r="H28" s="5" t="s">
        <v>46</v>
      </c>
      <c r="I28" s="15" t="e">
        <f>O25</f>
        <v>#DIV/0!</v>
      </c>
      <c r="J28" s="16" t="s">
        <v>47</v>
      </c>
      <c r="K28" s="5" t="s">
        <v>48</v>
      </c>
      <c r="L28" s="7">
        <f>O18</f>
        <v>4.7176646104535278</v>
      </c>
      <c r="M28" s="5" t="s">
        <v>30</v>
      </c>
      <c r="N28" s="5" t="s">
        <v>49</v>
      </c>
      <c r="O28" s="57" t="e">
        <f>(F28-I28)/L28</f>
        <v>#DIV/0!</v>
      </c>
      <c r="P28" s="5" t="s">
        <v>36</v>
      </c>
      <c r="Q28" s="21"/>
    </row>
    <row r="29" spans="2:17" x14ac:dyDescent="0.15">
      <c r="B29" s="20"/>
      <c r="C29" s="38" t="s">
        <v>130</v>
      </c>
      <c r="D29" s="38"/>
      <c r="F29" s="5"/>
      <c r="G29" s="5"/>
      <c r="H29" s="5"/>
      <c r="I29" s="5"/>
      <c r="J29" s="5"/>
      <c r="K29" s="5"/>
      <c r="L29" s="5"/>
      <c r="M29" s="5"/>
      <c r="N29" s="5"/>
      <c r="O29" s="5"/>
      <c r="P29" s="5"/>
      <c r="Q29" s="21"/>
    </row>
    <row r="30" spans="2:17" ht="14.25" thickBot="1" x14ac:dyDescent="0.2">
      <c r="B30" s="20"/>
      <c r="C30" s="38"/>
      <c r="D30" s="38"/>
      <c r="F30" s="5"/>
      <c r="G30" s="5"/>
      <c r="H30" s="5"/>
      <c r="I30" s="5"/>
      <c r="J30" s="5"/>
      <c r="K30" s="5"/>
      <c r="L30" s="5"/>
      <c r="M30" s="5"/>
      <c r="N30" s="5"/>
      <c r="O30" s="5"/>
      <c r="P30" s="5"/>
      <c r="Q30" s="21"/>
    </row>
    <row r="31" spans="2:17" ht="14.25" thickBot="1" x14ac:dyDescent="0.2">
      <c r="B31" s="20"/>
      <c r="C31" s="38" t="s">
        <v>51</v>
      </c>
      <c r="D31" s="38"/>
      <c r="F31" s="5"/>
      <c r="G31" s="5"/>
      <c r="H31" s="5"/>
      <c r="I31" s="5"/>
      <c r="J31" s="5"/>
      <c r="K31" s="5"/>
      <c r="L31" s="5"/>
      <c r="M31" s="5"/>
      <c r="N31" s="5"/>
      <c r="O31" s="40" t="e">
        <f>IF(O28&gt;=0.2,"適格","不適")</f>
        <v>#DIV/0!</v>
      </c>
      <c r="P31" s="5"/>
      <c r="Q31" s="21"/>
    </row>
    <row r="32" spans="2:17" x14ac:dyDescent="0.15">
      <c r="B32" s="22"/>
      <c r="C32" s="29"/>
      <c r="D32" s="29"/>
      <c r="E32" s="4"/>
      <c r="F32" s="8"/>
      <c r="G32" s="8"/>
      <c r="H32" s="8"/>
      <c r="I32" s="8"/>
      <c r="J32" s="8"/>
      <c r="K32" s="8"/>
      <c r="L32" s="8"/>
      <c r="M32" s="8"/>
      <c r="N32" s="8"/>
      <c r="O32" s="8"/>
      <c r="P32" s="8"/>
      <c r="Q32" s="23"/>
    </row>
    <row r="33" spans="2:24" x14ac:dyDescent="0.15">
      <c r="F33" s="5"/>
      <c r="G33" s="5"/>
      <c r="H33" s="5"/>
      <c r="I33" s="5"/>
      <c r="J33" s="5"/>
      <c r="K33" s="5"/>
      <c r="L33" s="5"/>
      <c r="M33" s="5"/>
      <c r="N33" s="5"/>
      <c r="O33" s="5"/>
      <c r="P33" s="5"/>
      <c r="X33" s="16"/>
    </row>
    <row r="34" spans="2:24" ht="17.25" x14ac:dyDescent="0.15">
      <c r="B34" s="17"/>
      <c r="C34" s="28" t="s">
        <v>52</v>
      </c>
      <c r="D34" s="28"/>
      <c r="E34" s="18"/>
      <c r="F34" s="24"/>
      <c r="G34" s="24"/>
      <c r="H34" s="24"/>
      <c r="I34" s="24"/>
      <c r="J34" s="24"/>
      <c r="K34" s="24"/>
      <c r="L34" s="24"/>
      <c r="M34" s="24"/>
      <c r="N34" s="24"/>
      <c r="O34" s="24"/>
      <c r="P34" s="24"/>
      <c r="Q34" s="19"/>
    </row>
    <row r="35" spans="2:24" ht="14.25" thickBot="1" x14ac:dyDescent="0.2">
      <c r="B35" s="20"/>
      <c r="F35" s="5"/>
      <c r="G35" s="5"/>
      <c r="H35" s="5"/>
      <c r="I35" s="5"/>
      <c r="J35" s="5"/>
      <c r="K35" s="5"/>
      <c r="L35" s="5"/>
      <c r="M35" s="5"/>
      <c r="N35" s="5"/>
      <c r="O35" s="5"/>
      <c r="P35" s="5"/>
      <c r="Q35" s="21"/>
    </row>
    <row r="36" spans="2:24" ht="14.25" thickBot="1" x14ac:dyDescent="0.2">
      <c r="B36" s="20"/>
      <c r="C36" t="s">
        <v>53</v>
      </c>
      <c r="F36" s="5"/>
      <c r="G36" s="5"/>
      <c r="H36" s="5"/>
      <c r="K36" s="5"/>
      <c r="L36" s="5"/>
      <c r="M36" s="5"/>
      <c r="N36" s="5"/>
      <c r="O36" s="225">
        <f>機器費用/1000</f>
        <v>0</v>
      </c>
      <c r="P36" s="5" t="s">
        <v>15</v>
      </c>
      <c r="Q36" s="21"/>
    </row>
    <row r="37" spans="2:24" ht="14.25" thickBot="1" x14ac:dyDescent="0.2">
      <c r="B37" s="20"/>
      <c r="C37" t="s">
        <v>54</v>
      </c>
      <c r="F37" s="5"/>
      <c r="G37" s="5"/>
      <c r="H37" s="5"/>
      <c r="I37" s="5"/>
      <c r="J37" s="5"/>
      <c r="K37" s="5"/>
      <c r="L37" s="5"/>
      <c r="M37" s="5"/>
      <c r="N37" s="5"/>
      <c r="O37" s="225">
        <f>設定費用/1000</f>
        <v>0</v>
      </c>
      <c r="P37" s="5" t="s">
        <v>15</v>
      </c>
      <c r="Q37" s="21"/>
    </row>
    <row r="38" spans="2:24" x14ac:dyDescent="0.15">
      <c r="B38" s="20"/>
      <c r="C38" s="4" t="s">
        <v>55</v>
      </c>
      <c r="D38" s="4"/>
      <c r="E38" s="4"/>
      <c r="F38" s="8"/>
      <c r="G38" s="8"/>
      <c r="H38" s="8"/>
      <c r="I38" s="10">
        <f>'利用が想定される中小企業（製造業）'!$D$4</f>
        <v>1.4670000000000001</v>
      </c>
      <c r="J38" s="8" t="s">
        <v>56</v>
      </c>
      <c r="K38" s="8" t="s">
        <v>27</v>
      </c>
      <c r="L38" s="10">
        <f>IF(製品区分=凡例!A11,8,16)</f>
        <v>16</v>
      </c>
      <c r="M38" s="8" t="s">
        <v>57</v>
      </c>
      <c r="N38" s="8" t="s">
        <v>29</v>
      </c>
      <c r="O38" s="87">
        <f>L38*I38</f>
        <v>23.472000000000001</v>
      </c>
      <c r="P38" s="8" t="s">
        <v>58</v>
      </c>
      <c r="Q38" s="21"/>
    </row>
    <row r="39" spans="2:24" x14ac:dyDescent="0.15">
      <c r="B39" s="20"/>
      <c r="C39" t="s">
        <v>59</v>
      </c>
      <c r="F39" s="5"/>
      <c r="G39" s="5"/>
      <c r="H39" s="5"/>
      <c r="I39" s="5"/>
      <c r="J39" s="5"/>
      <c r="K39" s="5"/>
      <c r="L39" s="5"/>
      <c r="M39" s="5"/>
      <c r="N39" s="5"/>
      <c r="O39" s="25">
        <f>SUM(O36:O38)</f>
        <v>23.472000000000001</v>
      </c>
      <c r="P39" s="5" t="s">
        <v>58</v>
      </c>
      <c r="Q39" s="21"/>
    </row>
    <row r="40" spans="2:24" x14ac:dyDescent="0.15">
      <c r="B40" s="20"/>
      <c r="F40" s="5"/>
      <c r="G40" s="5"/>
      <c r="H40" s="5"/>
      <c r="I40" s="5"/>
      <c r="J40" s="5"/>
      <c r="K40" s="5"/>
      <c r="L40" s="5"/>
      <c r="M40" s="5"/>
      <c r="N40" s="5"/>
      <c r="O40" s="26"/>
      <c r="P40" s="5"/>
      <c r="Q40" s="21"/>
    </row>
    <row r="41" spans="2:24" x14ac:dyDescent="0.15">
      <c r="B41" s="20"/>
      <c r="C41" t="s">
        <v>60</v>
      </c>
      <c r="F41" s="6">
        <f>'利用が想定される中小企業（製造業）'!$D$4</f>
        <v>1.4670000000000001</v>
      </c>
      <c r="G41" s="5" t="s">
        <v>56</v>
      </c>
      <c r="H41" s="5" t="s">
        <v>27</v>
      </c>
      <c r="I41" s="15" t="e">
        <f>(O18-O25)/'利用が想定される中小企業（製造業）'!$D$13</f>
        <v>#DIV/0!</v>
      </c>
      <c r="J41" s="5" t="s">
        <v>61</v>
      </c>
      <c r="K41" s="5" t="s">
        <v>27</v>
      </c>
      <c r="L41" s="6">
        <f>'利用が想定される中小企業（製造業）'!$D$7</f>
        <v>250</v>
      </c>
      <c r="M41" s="5" t="s">
        <v>62</v>
      </c>
      <c r="N41" s="5" t="s">
        <v>29</v>
      </c>
      <c r="O41" s="25" t="e">
        <f>F41*I41*L41</f>
        <v>#DIV/0!</v>
      </c>
      <c r="P41" s="5" t="s">
        <v>63</v>
      </c>
      <c r="Q41" s="21"/>
    </row>
    <row r="42" spans="2:24" x14ac:dyDescent="0.15">
      <c r="B42" s="20"/>
      <c r="C42" s="4" t="s">
        <v>64</v>
      </c>
      <c r="D42" s="4"/>
      <c r="E42" s="4"/>
      <c r="F42" s="4"/>
      <c r="G42" s="8"/>
      <c r="H42" s="8"/>
      <c r="I42" s="10">
        <f>'利用が想定される中小企業（製造業）'!$D$5</f>
        <v>70</v>
      </c>
      <c r="J42" s="8" t="s">
        <v>65</v>
      </c>
      <c r="K42" s="8" t="s">
        <v>27</v>
      </c>
      <c r="L42" s="76" t="e">
        <f>(O18-O25)/8/'利用が想定される中小企業（製造業）'!$D$13</f>
        <v>#DIV/0!</v>
      </c>
      <c r="M42" s="8" t="s">
        <v>66</v>
      </c>
      <c r="N42" s="8" t="s">
        <v>29</v>
      </c>
      <c r="O42" s="86" t="e">
        <f>I42*L42</f>
        <v>#DIV/0!</v>
      </c>
      <c r="P42" s="8" t="s">
        <v>63</v>
      </c>
      <c r="Q42" s="21"/>
    </row>
    <row r="43" spans="2:24" x14ac:dyDescent="0.15">
      <c r="B43" s="20"/>
      <c r="C43" t="s">
        <v>67</v>
      </c>
      <c r="F43" s="5"/>
      <c r="G43" s="5"/>
      <c r="H43" s="5"/>
      <c r="I43" s="56"/>
      <c r="J43" s="5"/>
      <c r="K43" s="5"/>
      <c r="L43" s="5"/>
      <c r="M43" s="5"/>
      <c r="N43" s="5"/>
      <c r="O43" s="25" t="e">
        <f>SUM(O41:O42)</f>
        <v>#DIV/0!</v>
      </c>
      <c r="P43" s="5" t="s">
        <v>63</v>
      </c>
      <c r="Q43" s="21"/>
    </row>
    <row r="44" spans="2:24" ht="14.25" thickBot="1" x14ac:dyDescent="0.2">
      <c r="B44" s="20"/>
      <c r="F44" s="5"/>
      <c r="G44" s="5"/>
      <c r="H44" s="5"/>
      <c r="I44" s="5"/>
      <c r="J44" s="5"/>
      <c r="K44" s="5"/>
      <c r="L44" s="5"/>
      <c r="M44" s="5"/>
      <c r="N44" s="5"/>
      <c r="O44" s="26"/>
      <c r="P44" s="5"/>
      <c r="Q44" s="21"/>
    </row>
    <row r="45" spans="2:24" ht="14.25" thickBot="1" x14ac:dyDescent="0.2">
      <c r="B45" s="20"/>
      <c r="C45" s="14" t="s">
        <v>68</v>
      </c>
      <c r="D45" s="14"/>
      <c r="E45" s="5"/>
      <c r="F45" s="5"/>
      <c r="G45" s="5"/>
      <c r="H45" s="5"/>
      <c r="I45" s="27">
        <f>O39</f>
        <v>23.472000000000001</v>
      </c>
      <c r="J45" s="5" t="s">
        <v>15</v>
      </c>
      <c r="K45" s="5" t="s">
        <v>48</v>
      </c>
      <c r="L45" s="25" t="e">
        <f>O43</f>
        <v>#DIV/0!</v>
      </c>
      <c r="M45" s="5" t="s">
        <v>63</v>
      </c>
      <c r="N45" s="5" t="s">
        <v>29</v>
      </c>
      <c r="O45" s="32" t="e">
        <f>I45/L45</f>
        <v>#DIV/0!</v>
      </c>
      <c r="P45" s="5" t="s">
        <v>69</v>
      </c>
      <c r="Q45" s="21"/>
    </row>
    <row r="46" spans="2:24" x14ac:dyDescent="0.15">
      <c r="B46" s="20"/>
      <c r="C46" s="38" t="s">
        <v>70</v>
      </c>
      <c r="D46" s="14"/>
      <c r="F46" s="5"/>
      <c r="G46" s="5"/>
      <c r="H46" s="5"/>
      <c r="I46" s="39"/>
      <c r="J46" s="5"/>
      <c r="K46" s="5"/>
      <c r="L46" s="5"/>
      <c r="M46" s="5"/>
      <c r="N46" s="5"/>
      <c r="O46" s="13"/>
      <c r="P46" s="5"/>
      <c r="Q46" s="21"/>
    </row>
    <row r="47" spans="2:24" ht="14.25" thickBot="1" x14ac:dyDescent="0.2">
      <c r="B47" s="20"/>
      <c r="C47" s="38"/>
      <c r="D47" s="14"/>
      <c r="F47" s="5"/>
      <c r="G47" s="5"/>
      <c r="H47" s="5"/>
      <c r="I47" s="39"/>
      <c r="J47" s="5"/>
      <c r="K47" s="5"/>
      <c r="L47" s="5"/>
      <c r="M47" s="5"/>
      <c r="N47" s="5"/>
      <c r="O47" s="13"/>
      <c r="P47" s="5"/>
      <c r="Q47" s="21"/>
    </row>
    <row r="48" spans="2:24" ht="14.25" thickBot="1" x14ac:dyDescent="0.2">
      <c r="B48" s="20"/>
      <c r="C48" s="38" t="s">
        <v>51</v>
      </c>
      <c r="D48" s="14"/>
      <c r="F48" s="5"/>
      <c r="G48" s="5"/>
      <c r="H48" s="5"/>
      <c r="I48" s="39"/>
      <c r="J48" s="5"/>
      <c r="K48" s="5"/>
      <c r="L48" s="5"/>
      <c r="M48" s="5"/>
      <c r="N48" s="5"/>
      <c r="O48" s="32" t="e">
        <f>IF(O45&lt;4,"適格","不適")</f>
        <v>#DIV/0!</v>
      </c>
      <c r="P48" s="5"/>
      <c r="Q48" s="21"/>
    </row>
    <row r="49" spans="2:18" x14ac:dyDescent="0.15">
      <c r="B49" s="22"/>
      <c r="C49" s="29"/>
      <c r="D49" s="29"/>
      <c r="E49" s="4"/>
      <c r="F49" s="4"/>
      <c r="G49" s="4"/>
      <c r="H49" s="4"/>
      <c r="I49" s="4"/>
      <c r="J49" s="4"/>
      <c r="K49" s="4"/>
      <c r="L49" s="4"/>
      <c r="M49" s="4"/>
      <c r="N49" s="4"/>
      <c r="O49" s="4"/>
      <c r="P49" s="4"/>
      <c r="Q49" s="23"/>
    </row>
    <row r="50" spans="2:18" x14ac:dyDescent="0.15">
      <c r="R50" s="33" t="s">
        <v>17</v>
      </c>
    </row>
  </sheetData>
  <sheetProtection algorithmName="SHA-512" hashValue="jTNiMVRa8DhCuaC2kC912A3ZJvTwb6ag7bhfCVr1DgwzuY6f3w/c8pphVHlIg8ZA44GA+jwLSQqfxBTUC5vs8A==" saltValue="6+P0Kpy+R1+m04Jssp8Gag==" spinCount="100000" sheet="1" objects="1" scenarios="1"/>
  <mergeCells count="5">
    <mergeCell ref="C2:P2"/>
    <mergeCell ref="N4:P4"/>
    <mergeCell ref="D6:M6"/>
    <mergeCell ref="D7:M7"/>
    <mergeCell ref="D11:H11"/>
  </mergeCells>
  <phoneticPr fontId="1"/>
  <pageMargins left="0.7" right="0.7" top="0.75" bottom="0.75" header="0.3" footer="0.3"/>
  <pageSetup paperSize="9" scale="64"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0EB2F-CBD5-471F-B609-A25397C07601}">
  <sheetPr codeName="Sheet23">
    <pageSetUpPr fitToPage="1"/>
  </sheetPr>
  <dimension ref="B2:X49"/>
  <sheetViews>
    <sheetView view="pageBreakPreview" topLeftCell="C1" zoomScale="85" zoomScaleNormal="100" zoomScaleSheetLayoutView="85" workbookViewId="0"/>
  </sheetViews>
  <sheetFormatPr defaultRowHeight="13.5" x14ac:dyDescent="0.15"/>
  <cols>
    <col min="1" max="2" width="2.75" customWidth="1"/>
    <col min="3" max="3" width="28.125" customWidth="1"/>
    <col min="4" max="4" width="10.375" customWidth="1"/>
    <col min="5" max="5" width="2.375" customWidth="1"/>
    <col min="6" max="6" width="9.375" customWidth="1"/>
    <col min="7" max="7" width="11.375" bestFit="1" customWidth="1"/>
    <col min="8" max="8" width="3.375" customWidth="1"/>
    <col min="9" max="9" width="9.375" customWidth="1"/>
    <col min="10" max="10" width="11.375" bestFit="1" customWidth="1"/>
    <col min="11" max="11" width="3.375" bestFit="1" customWidth="1"/>
    <col min="12" max="13" width="9.375" customWidth="1"/>
    <col min="14" max="14" width="3.375" bestFit="1" customWidth="1"/>
    <col min="15" max="16" width="9.375" customWidth="1"/>
    <col min="17" max="18" width="2.875" customWidth="1"/>
  </cols>
  <sheetData>
    <row r="2" spans="2:17" ht="24" x14ac:dyDescent="0.15">
      <c r="C2" s="268" t="s">
        <v>20</v>
      </c>
      <c r="D2" s="268"/>
      <c r="E2" s="268"/>
      <c r="F2" s="268"/>
      <c r="G2" s="268"/>
      <c r="H2" s="268"/>
      <c r="I2" s="268"/>
      <c r="J2" s="268"/>
      <c r="K2" s="268"/>
      <c r="L2" s="268"/>
      <c r="M2" s="268"/>
      <c r="N2" s="268"/>
      <c r="O2" s="268"/>
      <c r="P2" s="268"/>
    </row>
    <row r="3" spans="2:17" ht="7.5" customHeight="1" x14ac:dyDescent="0.15">
      <c r="C3" s="34"/>
      <c r="D3" s="34"/>
      <c r="E3" s="34"/>
      <c r="F3" s="34"/>
      <c r="G3" s="34"/>
      <c r="H3" s="34"/>
      <c r="I3" s="34"/>
      <c r="J3" s="34"/>
      <c r="K3" s="34"/>
      <c r="L3" s="34"/>
      <c r="M3" s="34"/>
      <c r="N3" s="34"/>
      <c r="O3" s="34"/>
      <c r="P3" s="34"/>
    </row>
    <row r="4" spans="2:17" ht="15" customHeight="1" x14ac:dyDescent="0.15">
      <c r="C4" s="140" t="str">
        <f>"【"&amp;製品カテゴリ&amp;"】"</f>
        <v>【AGV・AMR】</v>
      </c>
      <c r="D4" s="34"/>
      <c r="E4" s="34"/>
      <c r="F4" s="34"/>
      <c r="G4" s="34"/>
      <c r="H4" s="34"/>
      <c r="I4" s="34"/>
      <c r="J4" s="34"/>
      <c r="K4" s="35"/>
      <c r="L4" s="35"/>
      <c r="M4" s="35"/>
      <c r="N4" s="547" t="s">
        <v>21</v>
      </c>
      <c r="O4" s="547"/>
      <c r="P4" s="547"/>
    </row>
    <row r="5" spans="2:17" ht="7.5" customHeight="1" x14ac:dyDescent="0.15">
      <c r="C5" s="34"/>
      <c r="D5" s="34"/>
      <c r="E5" s="34"/>
      <c r="F5" s="34"/>
      <c r="G5" s="34"/>
      <c r="H5" s="34"/>
      <c r="I5" s="34"/>
      <c r="J5" s="34"/>
      <c r="K5" s="34"/>
      <c r="L5" s="34"/>
      <c r="M5" s="34"/>
      <c r="N5" s="34"/>
      <c r="O5" s="34"/>
      <c r="P5" s="34"/>
    </row>
    <row r="6" spans="2:17" x14ac:dyDescent="0.15">
      <c r="C6" s="11" t="s">
        <v>0</v>
      </c>
      <c r="D6" s="551">
        <f>製造事業者名</f>
        <v>0</v>
      </c>
      <c r="E6" s="551"/>
      <c r="F6" s="551"/>
      <c r="G6" s="551"/>
      <c r="H6" s="551"/>
      <c r="I6" s="551"/>
      <c r="J6" s="551"/>
      <c r="K6" s="551"/>
      <c r="L6" s="551"/>
      <c r="M6" s="551"/>
    </row>
    <row r="7" spans="2:17" x14ac:dyDescent="0.15">
      <c r="C7" s="11" t="s">
        <v>1</v>
      </c>
      <c r="D7" s="551">
        <f>型番</f>
        <v>0</v>
      </c>
      <c r="E7" s="551"/>
      <c r="F7" s="551"/>
      <c r="G7" s="551"/>
      <c r="H7" s="551"/>
      <c r="I7" s="551"/>
      <c r="J7" s="551"/>
      <c r="K7" s="551"/>
      <c r="L7" s="551"/>
      <c r="M7" s="551"/>
    </row>
    <row r="9" spans="2:17" x14ac:dyDescent="0.15">
      <c r="C9" s="1" t="s">
        <v>444</v>
      </c>
      <c r="D9" s="1"/>
    </row>
    <row r="10" spans="2:17" x14ac:dyDescent="0.15">
      <c r="C10" s="1"/>
      <c r="D10" s="1"/>
    </row>
    <row r="11" spans="2:17" x14ac:dyDescent="0.15">
      <c r="C11" s="37" t="s">
        <v>22</v>
      </c>
      <c r="D11" s="548" t="s">
        <v>71</v>
      </c>
      <c r="E11" s="549"/>
      <c r="F11" s="549"/>
      <c r="G11" s="549"/>
      <c r="H11" s="550"/>
    </row>
    <row r="13" spans="2:17" ht="17.25" x14ac:dyDescent="0.15">
      <c r="B13" s="17"/>
      <c r="C13" s="28" t="s">
        <v>24</v>
      </c>
      <c r="D13" s="28"/>
      <c r="E13" s="18"/>
      <c r="F13" s="18"/>
      <c r="G13" s="18"/>
      <c r="H13" s="18"/>
      <c r="I13" s="18"/>
      <c r="J13" s="18"/>
      <c r="K13" s="18"/>
      <c r="L13" s="18"/>
      <c r="M13" s="18"/>
      <c r="N13" s="18"/>
      <c r="O13" s="18"/>
      <c r="P13" s="18"/>
      <c r="Q13" s="19"/>
    </row>
    <row r="14" spans="2:17" x14ac:dyDescent="0.15">
      <c r="B14" s="20"/>
      <c r="C14" s="12"/>
      <c r="D14" s="12"/>
      <c r="Q14" s="21"/>
    </row>
    <row r="15" spans="2:17" x14ac:dyDescent="0.15">
      <c r="B15" s="20"/>
      <c r="C15" t="s">
        <v>25</v>
      </c>
      <c r="F15" s="53">
        <f>'利用が想定される中小企業（製造業）'!$E$10</f>
        <v>2</v>
      </c>
      <c r="G15" s="5" t="s">
        <v>129</v>
      </c>
      <c r="H15" s="5" t="s">
        <v>27</v>
      </c>
      <c r="I15" s="72">
        <f>'利用が想定される中小企業（製造業）'!$E$9/((4*1000/60)/2)</f>
        <v>1.6323602543556368</v>
      </c>
      <c r="J15" s="5" t="s">
        <v>26</v>
      </c>
      <c r="K15" s="5" t="s">
        <v>27</v>
      </c>
      <c r="L15" s="53">
        <f>'利用が想定される中小企業（製造業）'!$E$11*'利用が想定される中小企業（製造業）'!$E$8*'利用が想定される中小企業（製造業）'!$E$12</f>
        <v>144</v>
      </c>
      <c r="M15" s="5" t="s">
        <v>28</v>
      </c>
      <c r="N15" s="5" t="s">
        <v>29</v>
      </c>
      <c r="O15" s="7">
        <f>F15*I15*L15/60</f>
        <v>7.8353292209070569</v>
      </c>
      <c r="P15" s="5" t="s">
        <v>30</v>
      </c>
      <c r="Q15" s="21"/>
    </row>
    <row r="16" spans="2:17" x14ac:dyDescent="0.15">
      <c r="B16" s="20"/>
      <c r="C16" t="s">
        <v>31</v>
      </c>
      <c r="F16" s="53">
        <f>'利用が想定される中小企業（製造業）'!$E$10</f>
        <v>2</v>
      </c>
      <c r="G16" s="5" t="s">
        <v>129</v>
      </c>
      <c r="H16" s="5" t="s">
        <v>27</v>
      </c>
      <c r="I16" s="72">
        <f>'利用が想定される中小企業（製造業）'!$E$9/(4*1000/60)</f>
        <v>0.8161801271778184</v>
      </c>
      <c r="J16" s="5" t="s">
        <v>26</v>
      </c>
      <c r="K16" s="5" t="s">
        <v>27</v>
      </c>
      <c r="L16" s="53">
        <f>'利用が想定される中小企業（製造業）'!$E$11*'利用が想定される中小企業（製造業）'!$E$8*'利用が想定される中小企業（製造業）'!$E$12</f>
        <v>144</v>
      </c>
      <c r="M16" s="5" t="s">
        <v>28</v>
      </c>
      <c r="N16" s="5" t="s">
        <v>29</v>
      </c>
      <c r="O16" s="7">
        <f>F16*I16*L16/60</f>
        <v>3.9176646104535284</v>
      </c>
      <c r="P16" s="5" t="s">
        <v>30</v>
      </c>
      <c r="Q16" s="21"/>
    </row>
    <row r="17" spans="2:24" x14ac:dyDescent="0.15">
      <c r="B17" s="20"/>
      <c r="C17" s="4" t="s">
        <v>32</v>
      </c>
      <c r="D17" s="4"/>
      <c r="E17" s="4"/>
      <c r="F17" s="10">
        <f>'利用が想定される中小企業（製造業）'!$E$10</f>
        <v>2</v>
      </c>
      <c r="G17" s="8" t="s">
        <v>129</v>
      </c>
      <c r="H17" s="8" t="s">
        <v>27</v>
      </c>
      <c r="I17" s="10">
        <v>0.5</v>
      </c>
      <c r="J17" s="8" t="s">
        <v>26</v>
      </c>
      <c r="K17" s="8" t="s">
        <v>27</v>
      </c>
      <c r="L17" s="54">
        <f>'利用が想定される中小企業（製造業）'!$E$11*'利用が想定される中小企業（製造業）'!$E$8*'利用が想定される中小企業（製造業）'!$E$12</f>
        <v>144</v>
      </c>
      <c r="M17" s="8" t="s">
        <v>28</v>
      </c>
      <c r="N17" s="8" t="s">
        <v>29</v>
      </c>
      <c r="O17" s="9">
        <f>F17*I17*L17/60</f>
        <v>2.4</v>
      </c>
      <c r="P17" s="8" t="s">
        <v>30</v>
      </c>
      <c r="Q17" s="21"/>
    </row>
    <row r="18" spans="2:24" x14ac:dyDescent="0.15">
      <c r="B18" s="20"/>
      <c r="C18" t="s">
        <v>33</v>
      </c>
      <c r="F18" s="5"/>
      <c r="G18" s="5"/>
      <c r="H18" s="5"/>
      <c r="I18" s="5"/>
      <c r="J18" s="5"/>
      <c r="K18" s="5"/>
      <c r="L18" s="5"/>
      <c r="M18" s="5"/>
      <c r="N18" s="5"/>
      <c r="O18" s="7">
        <f>SUM(O15:O17)</f>
        <v>14.152993831360586</v>
      </c>
      <c r="P18" s="5" t="s">
        <v>30</v>
      </c>
      <c r="Q18" s="21"/>
    </row>
    <row r="19" spans="2:24" x14ac:dyDescent="0.15">
      <c r="B19" s="20"/>
      <c r="C19" t="s">
        <v>34</v>
      </c>
      <c r="F19" s="5"/>
      <c r="G19" s="5"/>
      <c r="H19" s="5"/>
      <c r="I19" s="5"/>
      <c r="J19" s="5"/>
      <c r="K19" s="5"/>
      <c r="L19" s="5"/>
      <c r="M19" s="5"/>
      <c r="N19" s="5"/>
      <c r="O19" s="13"/>
      <c r="P19" s="5"/>
      <c r="Q19" s="21"/>
    </row>
    <row r="20" spans="2:24" x14ac:dyDescent="0.15">
      <c r="B20" s="20"/>
      <c r="F20" s="5"/>
      <c r="G20" s="5"/>
      <c r="H20" s="5"/>
      <c r="I20" s="5"/>
      <c r="J20" s="5"/>
      <c r="K20" s="5"/>
      <c r="L20" s="5"/>
      <c r="M20" s="5"/>
      <c r="N20" s="5"/>
      <c r="O20" s="13"/>
      <c r="P20" s="5"/>
      <c r="Q20" s="21"/>
    </row>
    <row r="21" spans="2:24" x14ac:dyDescent="0.15">
      <c r="B21" s="20"/>
      <c r="C21" t="s">
        <v>105</v>
      </c>
      <c r="F21" s="52">
        <f>IF(人の同伴=凡例!$L$1,1,0)</f>
        <v>0</v>
      </c>
      <c r="G21" s="5" t="s">
        <v>36</v>
      </c>
      <c r="H21" s="5" t="s">
        <v>27</v>
      </c>
      <c r="I21" s="75" t="e">
        <f>('利用が想定される中小企業（製造業）'!$E$9/(60/2)+'利用が想定される中小企業（製造業）'!$E$9/60)*(100/最大搬送重量*0.8)</f>
        <v>#DIV/0!</v>
      </c>
      <c r="J21" s="5" t="s">
        <v>26</v>
      </c>
      <c r="K21" s="5" t="s">
        <v>27</v>
      </c>
      <c r="L21" s="53">
        <f>'利用が想定される中小企業（製造業）'!$E$11*'利用が想定される中小企業（製造業）'!$E$8*'利用が想定される中小企業（製造業）'!$E$12</f>
        <v>144</v>
      </c>
      <c r="M21" s="5" t="s">
        <v>28</v>
      </c>
      <c r="N21" s="5" t="s">
        <v>29</v>
      </c>
      <c r="O21" s="65" t="e">
        <f>F21*I21*L21/60</f>
        <v>#DIV/0!</v>
      </c>
      <c r="P21" s="5" t="s">
        <v>30</v>
      </c>
      <c r="Q21" s="21"/>
    </row>
    <row r="22" spans="2:24" x14ac:dyDescent="0.15">
      <c r="B22" s="20"/>
      <c r="C22" t="s">
        <v>37</v>
      </c>
      <c r="F22" s="52">
        <f>IF(積み下ろし方法=凡例!$N$1,0,1)</f>
        <v>1</v>
      </c>
      <c r="G22" s="5" t="s">
        <v>36</v>
      </c>
      <c r="H22" s="5" t="s">
        <v>27</v>
      </c>
      <c r="I22" s="75" t="e">
        <f>0.5*(100/最大搬送重量*0.8)</f>
        <v>#DIV/0!</v>
      </c>
      <c r="J22" s="5" t="s">
        <v>26</v>
      </c>
      <c r="K22" s="5" t="s">
        <v>27</v>
      </c>
      <c r="L22" s="53">
        <f>'利用が想定される中小企業（製造業）'!$E$11*'利用が想定される中小企業（製造業）'!$E$8*'利用が想定される中小企業（製造業）'!$E$12</f>
        <v>144</v>
      </c>
      <c r="M22" s="5" t="s">
        <v>28</v>
      </c>
      <c r="N22" s="5" t="s">
        <v>29</v>
      </c>
      <c r="O22" s="65" t="e">
        <f>F22*I22*L22/60</f>
        <v>#DIV/0!</v>
      </c>
      <c r="P22" s="5" t="s">
        <v>30</v>
      </c>
      <c r="Q22" s="21"/>
    </row>
    <row r="23" spans="2:24" x14ac:dyDescent="0.15">
      <c r="B23" s="20"/>
      <c r="C23" t="s">
        <v>38</v>
      </c>
      <c r="F23" s="52">
        <f>IF(ルート設定方法=凡例!$N$1,0,1)</f>
        <v>1</v>
      </c>
      <c r="G23" s="5" t="s">
        <v>36</v>
      </c>
      <c r="H23" s="5" t="s">
        <v>27</v>
      </c>
      <c r="I23" s="75" t="e">
        <f>0.25*(100/最大搬送重量*0.8)</f>
        <v>#DIV/0!</v>
      </c>
      <c r="J23" s="5" t="s">
        <v>26</v>
      </c>
      <c r="K23" s="5" t="s">
        <v>27</v>
      </c>
      <c r="L23" s="53">
        <f>'利用が想定される中小企業（製造業）'!$E$11*'利用が想定される中小企業（製造業）'!$E$8*'利用が想定される中小企業（製造業）'!$E$12</f>
        <v>144</v>
      </c>
      <c r="M23" s="5" t="s">
        <v>28</v>
      </c>
      <c r="N23" s="5" t="s">
        <v>29</v>
      </c>
      <c r="O23" s="65" t="e">
        <f>F23*I23*L23/60</f>
        <v>#DIV/0!</v>
      </c>
      <c r="P23" s="5" t="s">
        <v>30</v>
      </c>
      <c r="Q23" s="21"/>
    </row>
    <row r="24" spans="2:24" x14ac:dyDescent="0.15">
      <c r="B24" s="20"/>
      <c r="C24" s="4" t="s">
        <v>39</v>
      </c>
      <c r="D24" s="4"/>
      <c r="E24" s="4"/>
      <c r="F24" s="8"/>
      <c r="G24" s="8"/>
      <c r="H24" s="8"/>
      <c r="I24" s="10">
        <f>(5+30/'利用が想定される中小企業（製造業）'!$E$7)</f>
        <v>5.12</v>
      </c>
      <c r="J24" s="8" t="s">
        <v>40</v>
      </c>
      <c r="K24" s="8" t="s">
        <v>27</v>
      </c>
      <c r="L24" s="10">
        <f>'利用が想定される中小企業（製造業）'!$E$13</f>
        <v>3</v>
      </c>
      <c r="M24" s="8" t="s">
        <v>41</v>
      </c>
      <c r="N24" s="8" t="s">
        <v>29</v>
      </c>
      <c r="O24" s="9">
        <f>(I24*L24)/60</f>
        <v>0.25600000000000001</v>
      </c>
      <c r="P24" s="8" t="s">
        <v>30</v>
      </c>
      <c r="Q24" s="21"/>
    </row>
    <row r="25" spans="2:24" x14ac:dyDescent="0.15">
      <c r="B25" s="20"/>
      <c r="C25" t="s">
        <v>42</v>
      </c>
      <c r="F25" s="5"/>
      <c r="G25" s="5"/>
      <c r="H25" s="5"/>
      <c r="I25" s="5"/>
      <c r="J25" s="5"/>
      <c r="K25" s="5"/>
      <c r="L25" s="5"/>
      <c r="M25" s="5"/>
      <c r="N25" s="5"/>
      <c r="O25" s="65" t="e">
        <f>SUM(O21:O24)</f>
        <v>#DIV/0!</v>
      </c>
      <c r="P25" s="5" t="s">
        <v>30</v>
      </c>
      <c r="Q25" s="21"/>
    </row>
    <row r="26" spans="2:24" x14ac:dyDescent="0.15">
      <c r="B26" s="20"/>
      <c r="C26" t="s">
        <v>43</v>
      </c>
      <c r="F26" s="5"/>
      <c r="G26" s="5"/>
      <c r="H26" s="5"/>
      <c r="I26" s="5"/>
      <c r="J26" s="5"/>
      <c r="K26" s="5"/>
      <c r="L26" s="5"/>
      <c r="M26" s="5"/>
      <c r="N26" s="5"/>
      <c r="O26" s="13"/>
      <c r="P26" s="5"/>
      <c r="Q26" s="21"/>
    </row>
    <row r="27" spans="2:24" ht="14.25" thickBot="1" x14ac:dyDescent="0.2">
      <c r="B27" s="20"/>
      <c r="F27" s="5"/>
      <c r="G27" s="5"/>
      <c r="H27" s="5"/>
      <c r="I27" s="5"/>
      <c r="J27" s="5"/>
      <c r="K27" s="5"/>
      <c r="L27" s="5"/>
      <c r="M27" s="5"/>
      <c r="N27" s="5"/>
      <c r="O27" s="13"/>
      <c r="P27" s="5"/>
      <c r="Q27" s="21"/>
    </row>
    <row r="28" spans="2:24" ht="14.25" thickBot="1" x14ac:dyDescent="0.2">
      <c r="B28" s="20"/>
      <c r="C28" s="14" t="s">
        <v>44</v>
      </c>
      <c r="D28" s="14"/>
      <c r="E28" s="11" t="s">
        <v>45</v>
      </c>
      <c r="F28" s="7">
        <f>O18</f>
        <v>14.152993831360586</v>
      </c>
      <c r="G28" s="5" t="s">
        <v>30</v>
      </c>
      <c r="H28" s="5" t="s">
        <v>46</v>
      </c>
      <c r="I28" s="15" t="e">
        <f>O25</f>
        <v>#DIV/0!</v>
      </c>
      <c r="J28" s="16" t="s">
        <v>47</v>
      </c>
      <c r="K28" s="5" t="s">
        <v>48</v>
      </c>
      <c r="L28" s="7">
        <f>O18</f>
        <v>14.152993831360586</v>
      </c>
      <c r="M28" s="5" t="s">
        <v>30</v>
      </c>
      <c r="N28" s="5" t="s">
        <v>49</v>
      </c>
      <c r="O28" s="57" t="e">
        <f>(F28-I28)/L28</f>
        <v>#DIV/0!</v>
      </c>
      <c r="P28" s="5" t="s">
        <v>36</v>
      </c>
      <c r="Q28" s="21"/>
    </row>
    <row r="29" spans="2:24" x14ac:dyDescent="0.15">
      <c r="B29" s="20"/>
      <c r="C29" s="38" t="s">
        <v>130</v>
      </c>
      <c r="D29" s="38"/>
      <c r="F29" s="5"/>
      <c r="G29" s="5"/>
      <c r="H29" s="5"/>
      <c r="I29" s="5"/>
      <c r="J29" s="5"/>
      <c r="K29" s="5"/>
      <c r="L29" s="5"/>
      <c r="M29" s="5"/>
      <c r="N29" s="5"/>
      <c r="O29" s="5"/>
      <c r="P29" s="5"/>
      <c r="Q29" s="21"/>
    </row>
    <row r="30" spans="2:24" ht="14.25" thickBot="1" x14ac:dyDescent="0.2">
      <c r="B30" s="20"/>
      <c r="C30" s="38"/>
      <c r="D30" s="38"/>
      <c r="F30" s="5"/>
      <c r="G30" s="5"/>
      <c r="H30" s="5"/>
      <c r="I30" s="5"/>
      <c r="J30" s="5"/>
      <c r="K30" s="5"/>
      <c r="L30" s="5"/>
      <c r="M30" s="5"/>
      <c r="N30" s="5"/>
      <c r="O30" s="5"/>
      <c r="P30" s="5"/>
      <c r="Q30" s="21"/>
    </row>
    <row r="31" spans="2:24" ht="14.25" thickBot="1" x14ac:dyDescent="0.2">
      <c r="B31" s="20"/>
      <c r="C31" s="38" t="s">
        <v>51</v>
      </c>
      <c r="D31" s="38"/>
      <c r="F31" s="5"/>
      <c r="G31" s="5"/>
      <c r="H31" s="5"/>
      <c r="I31" s="5"/>
      <c r="J31" s="5"/>
      <c r="K31" s="5"/>
      <c r="L31" s="5"/>
      <c r="M31" s="5"/>
      <c r="N31" s="5"/>
      <c r="O31" s="40" t="e">
        <f>IF(O28&gt;=0.2,"適格","不適")</f>
        <v>#DIV/0!</v>
      </c>
      <c r="P31" s="5"/>
      <c r="Q31" s="21"/>
    </row>
    <row r="32" spans="2:24" x14ac:dyDescent="0.15">
      <c r="B32" s="22"/>
      <c r="C32" s="29"/>
      <c r="D32" s="29"/>
      <c r="E32" s="4"/>
      <c r="F32" s="8"/>
      <c r="G32" s="8"/>
      <c r="H32" s="8"/>
      <c r="I32" s="8"/>
      <c r="J32" s="8"/>
      <c r="K32" s="8"/>
      <c r="L32" s="8"/>
      <c r="M32" s="8"/>
      <c r="N32" s="8"/>
      <c r="O32" s="8"/>
      <c r="P32" s="8"/>
      <c r="Q32" s="23"/>
      <c r="X32" s="16"/>
    </row>
    <row r="33" spans="2:17" x14ac:dyDescent="0.15">
      <c r="F33" s="5"/>
      <c r="G33" s="5"/>
      <c r="H33" s="5"/>
      <c r="I33" s="5"/>
      <c r="J33" s="5"/>
      <c r="K33" s="5"/>
      <c r="L33" s="5"/>
      <c r="M33" s="5"/>
      <c r="N33" s="5"/>
      <c r="O33" s="5"/>
      <c r="P33" s="5"/>
    </row>
    <row r="34" spans="2:17" ht="17.25" x14ac:dyDescent="0.15">
      <c r="B34" s="17"/>
      <c r="C34" s="28" t="s">
        <v>52</v>
      </c>
      <c r="D34" s="28"/>
      <c r="E34" s="18"/>
      <c r="F34" s="24"/>
      <c r="G34" s="24"/>
      <c r="H34" s="24"/>
      <c r="I34" s="24"/>
      <c r="J34" s="24"/>
      <c r="K34" s="24"/>
      <c r="L34" s="24"/>
      <c r="M34" s="24"/>
      <c r="N34" s="24"/>
      <c r="O34" s="24"/>
      <c r="P34" s="24"/>
      <c r="Q34" s="19"/>
    </row>
    <row r="35" spans="2:17" ht="14.25" thickBot="1" x14ac:dyDescent="0.2">
      <c r="B35" s="20"/>
      <c r="F35" s="5"/>
      <c r="G35" s="5"/>
      <c r="H35" s="5"/>
      <c r="I35" s="5"/>
      <c r="J35" s="5"/>
      <c r="K35" s="5"/>
      <c r="L35" s="5"/>
      <c r="M35" s="5"/>
      <c r="N35" s="5"/>
      <c r="O35" s="5"/>
      <c r="P35" s="5"/>
      <c r="Q35" s="21"/>
    </row>
    <row r="36" spans="2:17" ht="14.25" thickBot="1" x14ac:dyDescent="0.2">
      <c r="B36" s="20"/>
      <c r="C36" t="s">
        <v>53</v>
      </c>
      <c r="F36" s="5"/>
      <c r="G36" s="5"/>
      <c r="H36" s="5"/>
      <c r="K36" s="5"/>
      <c r="L36" s="5"/>
      <c r="M36" s="5"/>
      <c r="N36" s="5"/>
      <c r="O36" s="225">
        <f>機器費用/1000</f>
        <v>0</v>
      </c>
      <c r="P36" s="5" t="s">
        <v>15</v>
      </c>
      <c r="Q36" s="21"/>
    </row>
    <row r="37" spans="2:17" ht="14.25" thickBot="1" x14ac:dyDescent="0.2">
      <c r="B37" s="20"/>
      <c r="C37" t="s">
        <v>54</v>
      </c>
      <c r="F37" s="5"/>
      <c r="G37" s="5"/>
      <c r="H37" s="5"/>
      <c r="I37" s="5"/>
      <c r="J37" s="5"/>
      <c r="K37" s="5"/>
      <c r="L37" s="5"/>
      <c r="M37" s="5"/>
      <c r="N37" s="5"/>
      <c r="O37" s="225">
        <f>設定費用/1000</f>
        <v>0</v>
      </c>
      <c r="P37" s="5" t="s">
        <v>15</v>
      </c>
      <c r="Q37" s="21"/>
    </row>
    <row r="38" spans="2:17" x14ac:dyDescent="0.15">
      <c r="B38" s="20"/>
      <c r="C38" s="4" t="s">
        <v>55</v>
      </c>
      <c r="D38" s="4"/>
      <c r="E38" s="4"/>
      <c r="F38" s="8"/>
      <c r="G38" s="8"/>
      <c r="H38" s="8"/>
      <c r="I38" s="10">
        <f>'利用が想定される中小企業（製造業）'!$E$4</f>
        <v>1.4670000000000001</v>
      </c>
      <c r="J38" s="8" t="s">
        <v>56</v>
      </c>
      <c r="K38" s="8" t="s">
        <v>27</v>
      </c>
      <c r="L38" s="10">
        <f>IF(製品区分=凡例!A11,8,16)</f>
        <v>16</v>
      </c>
      <c r="M38" s="8" t="s">
        <v>57</v>
      </c>
      <c r="N38" s="8" t="s">
        <v>29</v>
      </c>
      <c r="O38" s="9">
        <f>L38*I38</f>
        <v>23.472000000000001</v>
      </c>
      <c r="P38" s="8" t="s">
        <v>58</v>
      </c>
      <c r="Q38" s="21"/>
    </row>
    <row r="39" spans="2:17" x14ac:dyDescent="0.15">
      <c r="B39" s="20"/>
      <c r="C39" t="s">
        <v>59</v>
      </c>
      <c r="F39" s="5"/>
      <c r="G39" s="5"/>
      <c r="H39" s="5"/>
      <c r="I39" s="5"/>
      <c r="J39" s="5"/>
      <c r="K39" s="5"/>
      <c r="L39" s="5"/>
      <c r="M39" s="5"/>
      <c r="N39" s="5"/>
      <c r="O39" s="25">
        <f>SUM(O36:O38)</f>
        <v>23.472000000000001</v>
      </c>
      <c r="P39" s="5" t="s">
        <v>58</v>
      </c>
      <c r="Q39" s="21"/>
    </row>
    <row r="40" spans="2:17" x14ac:dyDescent="0.15">
      <c r="B40" s="20"/>
      <c r="F40" s="5"/>
      <c r="G40" s="5"/>
      <c r="H40" s="5"/>
      <c r="I40" s="5"/>
      <c r="J40" s="5"/>
      <c r="K40" s="5"/>
      <c r="L40" s="5"/>
      <c r="M40" s="5"/>
      <c r="N40" s="5"/>
      <c r="O40" s="26"/>
      <c r="P40" s="5"/>
      <c r="Q40" s="21"/>
    </row>
    <row r="41" spans="2:17" x14ac:dyDescent="0.15">
      <c r="B41" s="20"/>
      <c r="C41" t="s">
        <v>60</v>
      </c>
      <c r="F41" s="6">
        <f>'利用が想定される中小企業（製造業）'!$E$4</f>
        <v>1.4670000000000001</v>
      </c>
      <c r="G41" s="5" t="s">
        <v>56</v>
      </c>
      <c r="H41" s="5" t="s">
        <v>27</v>
      </c>
      <c r="I41" s="15" t="e">
        <f>(O18-O25)/'利用が想定される中小企業（製造業）'!$E$13</f>
        <v>#DIV/0!</v>
      </c>
      <c r="J41" s="5" t="s">
        <v>61</v>
      </c>
      <c r="K41" s="5" t="s">
        <v>27</v>
      </c>
      <c r="L41" s="6">
        <f>'利用が想定される中小企業（製造業）'!$E$7</f>
        <v>250</v>
      </c>
      <c r="M41" s="5" t="s">
        <v>62</v>
      </c>
      <c r="N41" s="5" t="s">
        <v>29</v>
      </c>
      <c r="O41" s="25" t="e">
        <f>F41*I41*L41</f>
        <v>#DIV/0!</v>
      </c>
      <c r="P41" s="5" t="s">
        <v>63</v>
      </c>
      <c r="Q41" s="21"/>
    </row>
    <row r="42" spans="2:17" x14ac:dyDescent="0.15">
      <c r="B42" s="20"/>
      <c r="C42" s="4" t="s">
        <v>64</v>
      </c>
      <c r="D42" s="4"/>
      <c r="E42" s="4"/>
      <c r="F42" s="4"/>
      <c r="G42" s="8"/>
      <c r="H42" s="8"/>
      <c r="I42" s="10">
        <f>'利用が想定される中小企業（製造業）'!$E$5</f>
        <v>70</v>
      </c>
      <c r="J42" s="8" t="s">
        <v>65</v>
      </c>
      <c r="K42" s="8" t="s">
        <v>27</v>
      </c>
      <c r="L42" s="76" t="e">
        <f>(O18-O25)/8/'利用が想定される中小企業（製造業）'!$E$13</f>
        <v>#DIV/0!</v>
      </c>
      <c r="M42" s="8" t="s">
        <v>66</v>
      </c>
      <c r="N42" s="8" t="s">
        <v>29</v>
      </c>
      <c r="O42" s="86" t="e">
        <f>I42*L42</f>
        <v>#DIV/0!</v>
      </c>
      <c r="P42" s="8" t="s">
        <v>63</v>
      </c>
      <c r="Q42" s="21"/>
    </row>
    <row r="43" spans="2:17" x14ac:dyDescent="0.15">
      <c r="B43" s="20"/>
      <c r="C43" t="s">
        <v>67</v>
      </c>
      <c r="F43" s="5"/>
      <c r="G43" s="5"/>
      <c r="H43" s="5"/>
      <c r="I43" s="56"/>
      <c r="J43" s="5"/>
      <c r="K43" s="5"/>
      <c r="L43" s="5"/>
      <c r="M43" s="5"/>
      <c r="N43" s="5"/>
      <c r="O43" s="25" t="e">
        <f>SUM(O41:O42)</f>
        <v>#DIV/0!</v>
      </c>
      <c r="P43" s="5" t="s">
        <v>63</v>
      </c>
      <c r="Q43" s="21"/>
    </row>
    <row r="44" spans="2:17" ht="14.25" thickBot="1" x14ac:dyDescent="0.2">
      <c r="B44" s="20"/>
      <c r="F44" s="5"/>
      <c r="G44" s="5"/>
      <c r="H44" s="5"/>
      <c r="I44" s="5"/>
      <c r="J44" s="5"/>
      <c r="K44" s="5"/>
      <c r="L44" s="5"/>
      <c r="M44" s="5"/>
      <c r="N44" s="5"/>
      <c r="O44" s="26"/>
      <c r="P44" s="5"/>
      <c r="Q44" s="21"/>
    </row>
    <row r="45" spans="2:17" ht="14.25" thickBot="1" x14ac:dyDescent="0.2">
      <c r="B45" s="20"/>
      <c r="C45" s="14" t="s">
        <v>68</v>
      </c>
      <c r="D45" s="14"/>
      <c r="E45" s="5"/>
      <c r="F45" s="5"/>
      <c r="G45" s="5"/>
      <c r="H45" s="5"/>
      <c r="I45" s="27">
        <f>O39</f>
        <v>23.472000000000001</v>
      </c>
      <c r="J45" s="5" t="s">
        <v>15</v>
      </c>
      <c r="K45" s="5" t="s">
        <v>48</v>
      </c>
      <c r="L45" s="25" t="e">
        <f>O43</f>
        <v>#DIV/0!</v>
      </c>
      <c r="M45" s="5" t="s">
        <v>63</v>
      </c>
      <c r="N45" s="5" t="s">
        <v>29</v>
      </c>
      <c r="O45" s="32" t="e">
        <f>I45/L45</f>
        <v>#DIV/0!</v>
      </c>
      <c r="P45" s="5" t="s">
        <v>69</v>
      </c>
      <c r="Q45" s="21"/>
    </row>
    <row r="46" spans="2:17" x14ac:dyDescent="0.15">
      <c r="B46" s="20"/>
      <c r="C46" s="38" t="s">
        <v>70</v>
      </c>
      <c r="D46" s="14"/>
      <c r="F46" s="5"/>
      <c r="G46" s="5"/>
      <c r="H46" s="5"/>
      <c r="I46" s="39"/>
      <c r="J46" s="5"/>
      <c r="K46" s="5"/>
      <c r="L46" s="5"/>
      <c r="M46" s="5"/>
      <c r="N46" s="5"/>
      <c r="O46" s="13"/>
      <c r="P46" s="5"/>
      <c r="Q46" s="21"/>
    </row>
    <row r="47" spans="2:17" ht="14.25" thickBot="1" x14ac:dyDescent="0.2">
      <c r="B47" s="20"/>
      <c r="C47" s="38"/>
      <c r="D47" s="14"/>
      <c r="F47" s="5"/>
      <c r="G47" s="5"/>
      <c r="H47" s="5"/>
      <c r="I47" s="39"/>
      <c r="J47" s="5"/>
      <c r="K47" s="5"/>
      <c r="L47" s="5"/>
      <c r="M47" s="5"/>
      <c r="N47" s="5"/>
      <c r="O47" s="13"/>
      <c r="P47" s="5"/>
      <c r="Q47" s="21"/>
    </row>
    <row r="48" spans="2:17" ht="14.25" thickBot="1" x14ac:dyDescent="0.2">
      <c r="B48" s="20"/>
      <c r="C48" s="38" t="s">
        <v>51</v>
      </c>
      <c r="D48" s="14"/>
      <c r="F48" s="5"/>
      <c r="G48" s="5"/>
      <c r="H48" s="5"/>
      <c r="I48" s="39"/>
      <c r="J48" s="5"/>
      <c r="K48" s="5"/>
      <c r="L48" s="5"/>
      <c r="M48" s="5"/>
      <c r="N48" s="5"/>
      <c r="O48" s="32" t="e">
        <f>IF(O45&lt;4,"適格","不適")</f>
        <v>#DIV/0!</v>
      </c>
      <c r="P48" s="5"/>
      <c r="Q48" s="21"/>
    </row>
    <row r="49" spans="2:18" x14ac:dyDescent="0.15">
      <c r="B49" s="22"/>
      <c r="C49" s="29"/>
      <c r="D49" s="29"/>
      <c r="E49" s="4"/>
      <c r="F49" s="4"/>
      <c r="G49" s="4"/>
      <c r="H49" s="4"/>
      <c r="I49" s="4"/>
      <c r="J49" s="4"/>
      <c r="K49" s="4"/>
      <c r="L49" s="4"/>
      <c r="M49" s="4"/>
      <c r="N49" s="4"/>
      <c r="O49" s="4"/>
      <c r="P49" s="4"/>
      <c r="Q49" s="23"/>
      <c r="R49" s="33" t="s">
        <v>17</v>
      </c>
    </row>
  </sheetData>
  <sheetProtection algorithmName="SHA-512" hashValue="9jOhiIfSF1A9YMp2ylVRzpEh8JP1X8S+oO2/Gttdh6O6YJqBtTD5QZVF7h7qWXBaJXvKo8JyrIIajkFUVvrm6A==" saltValue="vwPpFONH1yMDYs2S7NnZRA==" spinCount="100000" sheet="1" objects="1" scenarios="1"/>
  <mergeCells count="5">
    <mergeCell ref="C2:P2"/>
    <mergeCell ref="N4:P4"/>
    <mergeCell ref="D6:M6"/>
    <mergeCell ref="D7:M7"/>
    <mergeCell ref="D11:H11"/>
  </mergeCells>
  <phoneticPr fontId="1"/>
  <pageMargins left="0.7" right="0.7" top="0.75" bottom="0.75" header="0.3" footer="0.3"/>
  <pageSetup paperSize="9" scale="63"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FC34-FDD6-4237-8D4D-992E63E58552}">
  <sheetPr codeName="Sheet24">
    <pageSetUpPr fitToPage="1"/>
  </sheetPr>
  <dimension ref="B2:X49"/>
  <sheetViews>
    <sheetView view="pageBreakPreview" zoomScale="85" zoomScaleNormal="100" zoomScaleSheetLayoutView="85" workbookViewId="0"/>
  </sheetViews>
  <sheetFormatPr defaultRowHeight="13.5" x14ac:dyDescent="0.15"/>
  <cols>
    <col min="1" max="2" width="2.75" customWidth="1"/>
    <col min="3" max="3" width="28.125" customWidth="1"/>
    <col min="4" max="4" width="10.375" customWidth="1"/>
    <col min="5" max="5" width="2.375" customWidth="1"/>
    <col min="6" max="6" width="9.375" customWidth="1"/>
    <col min="7" max="7" width="11.375" bestFit="1" customWidth="1"/>
    <col min="8" max="8" width="3.375" customWidth="1"/>
    <col min="9" max="9" width="9.375" customWidth="1"/>
    <col min="10" max="10" width="11.375" bestFit="1" customWidth="1"/>
    <col min="11" max="11" width="3.375" bestFit="1" customWidth="1"/>
    <col min="12" max="13" width="9.375" customWidth="1"/>
    <col min="14" max="14" width="3.375" bestFit="1" customWidth="1"/>
    <col min="15" max="16" width="9.375" customWidth="1"/>
    <col min="17" max="18" width="2.875" customWidth="1"/>
  </cols>
  <sheetData>
    <row r="2" spans="2:17" ht="24" x14ac:dyDescent="0.15">
      <c r="C2" s="268" t="s">
        <v>20</v>
      </c>
      <c r="D2" s="268"/>
      <c r="E2" s="268"/>
      <c r="F2" s="268"/>
      <c r="G2" s="268"/>
      <c r="H2" s="268"/>
      <c r="I2" s="268"/>
      <c r="J2" s="268"/>
      <c r="K2" s="268"/>
      <c r="L2" s="268"/>
      <c r="M2" s="268"/>
      <c r="N2" s="268"/>
      <c r="O2" s="268"/>
      <c r="P2" s="268"/>
    </row>
    <row r="3" spans="2:17" ht="7.5" customHeight="1" x14ac:dyDescent="0.15">
      <c r="C3" s="34"/>
      <c r="D3" s="34"/>
      <c r="E3" s="34"/>
      <c r="F3" s="34"/>
      <c r="G3" s="34"/>
      <c r="H3" s="34"/>
      <c r="I3" s="34"/>
      <c r="J3" s="34"/>
      <c r="K3" s="34"/>
      <c r="L3" s="34"/>
      <c r="M3" s="34"/>
      <c r="N3" s="34"/>
      <c r="O3" s="34"/>
      <c r="P3" s="34"/>
    </row>
    <row r="4" spans="2:17" ht="15" customHeight="1" x14ac:dyDescent="0.15">
      <c r="C4" s="140" t="str">
        <f>"【"&amp;製品カテゴリ&amp;"】"</f>
        <v>【AGV・AMR】</v>
      </c>
      <c r="D4" s="34"/>
      <c r="E4" s="34"/>
      <c r="F4" s="34"/>
      <c r="G4" s="34"/>
      <c r="H4" s="34"/>
      <c r="I4" s="34"/>
      <c r="J4" s="34"/>
      <c r="K4" s="35"/>
      <c r="L4" s="35"/>
      <c r="M4" s="35"/>
      <c r="N4" s="547" t="s">
        <v>21</v>
      </c>
      <c r="O4" s="547"/>
      <c r="P4" s="547"/>
    </row>
    <row r="5" spans="2:17" ht="7.5" customHeight="1" x14ac:dyDescent="0.15">
      <c r="C5" s="34"/>
      <c r="D5" s="34"/>
      <c r="E5" s="34"/>
      <c r="F5" s="34"/>
      <c r="G5" s="34"/>
      <c r="H5" s="34"/>
      <c r="I5" s="34"/>
      <c r="J5" s="34"/>
      <c r="K5" s="34"/>
      <c r="L5" s="34"/>
      <c r="M5" s="34"/>
      <c r="N5" s="34"/>
      <c r="O5" s="34"/>
      <c r="P5" s="34"/>
    </row>
    <row r="6" spans="2:17" x14ac:dyDescent="0.15">
      <c r="C6" s="11" t="s">
        <v>0</v>
      </c>
      <c r="D6" s="551">
        <f>製造事業者名</f>
        <v>0</v>
      </c>
      <c r="E6" s="551"/>
      <c r="F6" s="551"/>
      <c r="G6" s="551"/>
      <c r="H6" s="551"/>
      <c r="I6" s="551"/>
      <c r="J6" s="551"/>
      <c r="K6" s="551"/>
      <c r="L6" s="551"/>
      <c r="M6" s="551"/>
    </row>
    <row r="7" spans="2:17" x14ac:dyDescent="0.15">
      <c r="C7" s="11" t="s">
        <v>1</v>
      </c>
      <c r="D7" s="551">
        <f>型番</f>
        <v>0</v>
      </c>
      <c r="E7" s="551"/>
      <c r="F7" s="551"/>
      <c r="G7" s="551"/>
      <c r="H7" s="551"/>
      <c r="I7" s="551"/>
      <c r="J7" s="551"/>
      <c r="K7" s="551"/>
      <c r="L7" s="551"/>
      <c r="M7" s="551"/>
    </row>
    <row r="9" spans="2:17" x14ac:dyDescent="0.15">
      <c r="C9" s="1" t="s">
        <v>444</v>
      </c>
      <c r="D9" s="1"/>
    </row>
    <row r="10" spans="2:17" x14ac:dyDescent="0.15">
      <c r="C10" s="1"/>
      <c r="D10" s="1"/>
    </row>
    <row r="11" spans="2:17" x14ac:dyDescent="0.15">
      <c r="C11" s="37" t="s">
        <v>22</v>
      </c>
      <c r="D11" s="548" t="s">
        <v>72</v>
      </c>
      <c r="E11" s="549"/>
      <c r="F11" s="549"/>
      <c r="G11" s="549"/>
      <c r="H11" s="550"/>
    </row>
    <row r="13" spans="2:17" ht="17.25" x14ac:dyDescent="0.15">
      <c r="B13" s="17"/>
      <c r="C13" s="28" t="s">
        <v>24</v>
      </c>
      <c r="D13" s="28"/>
      <c r="E13" s="18"/>
      <c r="F13" s="18"/>
      <c r="G13" s="18"/>
      <c r="H13" s="18"/>
      <c r="I13" s="18"/>
      <c r="J13" s="18"/>
      <c r="K13" s="18"/>
      <c r="L13" s="18"/>
      <c r="M13" s="18"/>
      <c r="N13" s="18"/>
      <c r="O13" s="18"/>
      <c r="P13" s="18"/>
      <c r="Q13" s="19"/>
    </row>
    <row r="14" spans="2:17" x14ac:dyDescent="0.15">
      <c r="B14" s="20"/>
      <c r="C14" s="12"/>
      <c r="D14" s="12"/>
      <c r="Q14" s="21"/>
    </row>
    <row r="15" spans="2:17" x14ac:dyDescent="0.15">
      <c r="B15" s="20"/>
      <c r="C15" t="s">
        <v>25</v>
      </c>
      <c r="F15" s="53">
        <f>'利用が想定される中小企業（製造業）'!$F$10</f>
        <v>2</v>
      </c>
      <c r="G15" s="5" t="s">
        <v>129</v>
      </c>
      <c r="H15" s="5" t="s">
        <v>27</v>
      </c>
      <c r="I15" s="72">
        <f>'利用が想定される中小企業（製造業）'!$F$9/((4*1000/60)/2)</f>
        <v>1.6323602543556368</v>
      </c>
      <c r="J15" s="5" t="s">
        <v>26</v>
      </c>
      <c r="K15" s="5" t="s">
        <v>27</v>
      </c>
      <c r="L15" s="53">
        <f>'利用が想定される中小企業（製造業）'!$F$11*'利用が想定される中小企業（製造業）'!$F$8*'利用が想定される中小企業（製造業）'!$F$12</f>
        <v>288</v>
      </c>
      <c r="M15" s="5" t="s">
        <v>28</v>
      </c>
      <c r="N15" s="5" t="s">
        <v>29</v>
      </c>
      <c r="O15" s="7">
        <f>F15*I15*L15/60</f>
        <v>15.670658441814114</v>
      </c>
      <c r="P15" s="5" t="s">
        <v>30</v>
      </c>
      <c r="Q15" s="21"/>
    </row>
    <row r="16" spans="2:17" x14ac:dyDescent="0.15">
      <c r="B16" s="20"/>
      <c r="C16" t="s">
        <v>31</v>
      </c>
      <c r="F16" s="53">
        <f>'利用が想定される中小企業（製造業）'!$F$10</f>
        <v>2</v>
      </c>
      <c r="G16" s="5" t="s">
        <v>129</v>
      </c>
      <c r="H16" s="5" t="s">
        <v>27</v>
      </c>
      <c r="I16" s="72">
        <f>'利用が想定される中小企業（製造業）'!$F$9/(4*1000/60)</f>
        <v>0.8161801271778184</v>
      </c>
      <c r="J16" s="5" t="s">
        <v>26</v>
      </c>
      <c r="K16" s="5" t="s">
        <v>27</v>
      </c>
      <c r="L16" s="53">
        <f>'利用が想定される中小企業（製造業）'!$F$11*'利用が想定される中小企業（製造業）'!$F$8*'利用が想定される中小企業（製造業）'!$F$12</f>
        <v>288</v>
      </c>
      <c r="M16" s="5" t="s">
        <v>28</v>
      </c>
      <c r="N16" s="5" t="s">
        <v>29</v>
      </c>
      <c r="O16" s="7">
        <f>F16*I16*L16/60</f>
        <v>7.8353292209070569</v>
      </c>
      <c r="P16" s="5" t="s">
        <v>30</v>
      </c>
      <c r="Q16" s="21"/>
    </row>
    <row r="17" spans="2:24" x14ac:dyDescent="0.15">
      <c r="B17" s="20"/>
      <c r="C17" s="4" t="s">
        <v>32</v>
      </c>
      <c r="D17" s="4"/>
      <c r="E17" s="4"/>
      <c r="F17" s="10">
        <f>'利用が想定される中小企業（製造業）'!$F$10</f>
        <v>2</v>
      </c>
      <c r="G17" s="8" t="s">
        <v>129</v>
      </c>
      <c r="H17" s="8" t="s">
        <v>27</v>
      </c>
      <c r="I17" s="10">
        <v>0.5</v>
      </c>
      <c r="J17" s="8" t="s">
        <v>26</v>
      </c>
      <c r="K17" s="8" t="s">
        <v>27</v>
      </c>
      <c r="L17" s="54">
        <f>'利用が想定される中小企業（製造業）'!$F$11*'利用が想定される中小企業（製造業）'!$F$8*'利用が想定される中小企業（製造業）'!$F$12</f>
        <v>288</v>
      </c>
      <c r="M17" s="8" t="s">
        <v>28</v>
      </c>
      <c r="N17" s="8" t="s">
        <v>29</v>
      </c>
      <c r="O17" s="9">
        <f>F17*I17*L17/60</f>
        <v>4.8</v>
      </c>
      <c r="P17" s="8" t="s">
        <v>30</v>
      </c>
      <c r="Q17" s="21"/>
    </row>
    <row r="18" spans="2:24" x14ac:dyDescent="0.15">
      <c r="B18" s="20"/>
      <c r="C18" t="s">
        <v>33</v>
      </c>
      <c r="F18" s="5"/>
      <c r="G18" s="5"/>
      <c r="H18" s="5"/>
      <c r="I18" s="5"/>
      <c r="J18" s="5"/>
      <c r="K18" s="5"/>
      <c r="L18" s="5"/>
      <c r="M18" s="5"/>
      <c r="N18" s="5"/>
      <c r="O18" s="7">
        <f>SUM(O15:O17)</f>
        <v>28.305987662721172</v>
      </c>
      <c r="P18" s="5" t="s">
        <v>30</v>
      </c>
      <c r="Q18" s="21"/>
    </row>
    <row r="19" spans="2:24" x14ac:dyDescent="0.15">
      <c r="B19" s="20"/>
      <c r="C19" t="s">
        <v>34</v>
      </c>
      <c r="F19" s="5"/>
      <c r="G19" s="5"/>
      <c r="H19" s="5"/>
      <c r="I19" s="5"/>
      <c r="J19" s="5"/>
      <c r="K19" s="5"/>
      <c r="L19" s="5"/>
      <c r="M19" s="5"/>
      <c r="N19" s="5"/>
      <c r="O19" s="13"/>
      <c r="P19" s="5"/>
      <c r="Q19" s="21"/>
    </row>
    <row r="20" spans="2:24" x14ac:dyDescent="0.15">
      <c r="B20" s="20"/>
      <c r="F20" s="5"/>
      <c r="G20" s="5"/>
      <c r="H20" s="5"/>
      <c r="I20" s="5"/>
      <c r="J20" s="5"/>
      <c r="K20" s="5"/>
      <c r="L20" s="5"/>
      <c r="M20" s="5"/>
      <c r="N20" s="5"/>
      <c r="O20" s="13"/>
      <c r="P20" s="5"/>
      <c r="Q20" s="21"/>
    </row>
    <row r="21" spans="2:24" x14ac:dyDescent="0.15">
      <c r="B21" s="20"/>
      <c r="C21" t="s">
        <v>105</v>
      </c>
      <c r="F21" s="52">
        <f>IF(人の同伴=凡例!$L$1,1,0)</f>
        <v>0</v>
      </c>
      <c r="G21" s="5" t="s">
        <v>36</v>
      </c>
      <c r="H21" s="5" t="s">
        <v>27</v>
      </c>
      <c r="I21" s="75" t="e">
        <f>('利用が想定される中小企業（製造業）'!$F$9/(60/2)+'利用が想定される中小企業（製造業）'!$F$9/60)*(100/最大搬送重量*0.8)</f>
        <v>#DIV/0!</v>
      </c>
      <c r="J21" s="5" t="s">
        <v>26</v>
      </c>
      <c r="K21" s="5" t="s">
        <v>27</v>
      </c>
      <c r="L21" s="53">
        <f>'利用が想定される中小企業（製造業）'!$F$11*'利用が想定される中小企業（製造業）'!$F$8*'利用が想定される中小企業（製造業）'!$F$12</f>
        <v>288</v>
      </c>
      <c r="M21" s="5" t="s">
        <v>28</v>
      </c>
      <c r="N21" s="5" t="s">
        <v>29</v>
      </c>
      <c r="O21" s="65" t="e">
        <f>F21*I21*L21/60</f>
        <v>#DIV/0!</v>
      </c>
      <c r="P21" s="5" t="s">
        <v>30</v>
      </c>
      <c r="Q21" s="21"/>
    </row>
    <row r="22" spans="2:24" x14ac:dyDescent="0.15">
      <c r="B22" s="20"/>
      <c r="C22" t="s">
        <v>37</v>
      </c>
      <c r="F22" s="52">
        <f>IF(積み下ろし方法=凡例!$N$1,0,1)</f>
        <v>1</v>
      </c>
      <c r="G22" s="5" t="s">
        <v>36</v>
      </c>
      <c r="H22" s="5" t="s">
        <v>27</v>
      </c>
      <c r="I22" s="75" t="e">
        <f>0.5*(100/最大搬送重量*0.8)</f>
        <v>#DIV/0!</v>
      </c>
      <c r="J22" s="5" t="s">
        <v>26</v>
      </c>
      <c r="K22" s="5" t="s">
        <v>27</v>
      </c>
      <c r="L22" s="53">
        <f>'利用が想定される中小企業（製造業）'!$F$11*'利用が想定される中小企業（製造業）'!$F$8*'利用が想定される中小企業（製造業）'!$F$12</f>
        <v>288</v>
      </c>
      <c r="M22" s="5" t="s">
        <v>28</v>
      </c>
      <c r="N22" s="5" t="s">
        <v>29</v>
      </c>
      <c r="O22" s="65" t="e">
        <f>F22*I22*L22/60</f>
        <v>#DIV/0!</v>
      </c>
      <c r="P22" s="5" t="s">
        <v>30</v>
      </c>
      <c r="Q22" s="21"/>
    </row>
    <row r="23" spans="2:24" x14ac:dyDescent="0.15">
      <c r="B23" s="20"/>
      <c r="C23" t="s">
        <v>38</v>
      </c>
      <c r="F23" s="52">
        <f>IF(ルート設定方法=凡例!$N$1,0,1)</f>
        <v>1</v>
      </c>
      <c r="G23" s="5" t="s">
        <v>36</v>
      </c>
      <c r="H23" s="5" t="s">
        <v>27</v>
      </c>
      <c r="I23" s="75" t="e">
        <f>0.25*(100/最大搬送重量*0.8)</f>
        <v>#DIV/0!</v>
      </c>
      <c r="J23" s="5" t="s">
        <v>26</v>
      </c>
      <c r="K23" s="5" t="s">
        <v>27</v>
      </c>
      <c r="L23" s="53">
        <f>'利用が想定される中小企業（製造業）'!$F$11*'利用が想定される中小企業（製造業）'!$F$8*'利用が想定される中小企業（製造業）'!$F$12</f>
        <v>288</v>
      </c>
      <c r="M23" s="5" t="s">
        <v>28</v>
      </c>
      <c r="N23" s="5" t="s">
        <v>29</v>
      </c>
      <c r="O23" s="65" t="e">
        <f>F23*I23*L23/60</f>
        <v>#DIV/0!</v>
      </c>
      <c r="P23" s="5" t="s">
        <v>30</v>
      </c>
      <c r="Q23" s="21"/>
    </row>
    <row r="24" spans="2:24" x14ac:dyDescent="0.15">
      <c r="B24" s="20"/>
      <c r="C24" s="4" t="s">
        <v>39</v>
      </c>
      <c r="D24" s="4"/>
      <c r="E24" s="4"/>
      <c r="F24" s="8"/>
      <c r="G24" s="8"/>
      <c r="H24" s="8"/>
      <c r="I24" s="10">
        <f>(5+30/'利用が想定される中小企業（製造業）'!$F$7)</f>
        <v>5.12</v>
      </c>
      <c r="J24" s="8" t="s">
        <v>40</v>
      </c>
      <c r="K24" s="8" t="s">
        <v>27</v>
      </c>
      <c r="L24" s="10">
        <f>'利用が想定される中小企業（製造業）'!$F$13</f>
        <v>6</v>
      </c>
      <c r="M24" s="8" t="s">
        <v>41</v>
      </c>
      <c r="N24" s="8" t="s">
        <v>29</v>
      </c>
      <c r="O24" s="9">
        <f>(I24*L24)/60</f>
        <v>0.51200000000000001</v>
      </c>
      <c r="P24" s="8" t="s">
        <v>30</v>
      </c>
      <c r="Q24" s="21"/>
    </row>
    <row r="25" spans="2:24" x14ac:dyDescent="0.15">
      <c r="B25" s="20"/>
      <c r="C25" t="s">
        <v>42</v>
      </c>
      <c r="F25" s="5"/>
      <c r="G25" s="5"/>
      <c r="H25" s="5"/>
      <c r="I25" s="5"/>
      <c r="J25" s="5"/>
      <c r="K25" s="5"/>
      <c r="L25" s="5"/>
      <c r="M25" s="5"/>
      <c r="N25" s="5"/>
      <c r="O25" s="65" t="e">
        <f>SUM(O21:O24)</f>
        <v>#DIV/0!</v>
      </c>
      <c r="P25" s="5" t="s">
        <v>30</v>
      </c>
      <c r="Q25" s="21"/>
    </row>
    <row r="26" spans="2:24" x14ac:dyDescent="0.15">
      <c r="B26" s="20"/>
      <c r="C26" t="s">
        <v>43</v>
      </c>
      <c r="F26" s="5"/>
      <c r="G26" s="5"/>
      <c r="H26" s="5"/>
      <c r="I26" s="5"/>
      <c r="J26" s="5"/>
      <c r="K26" s="5"/>
      <c r="L26" s="5"/>
      <c r="M26" s="5"/>
      <c r="N26" s="5"/>
      <c r="O26" s="13"/>
      <c r="P26" s="5"/>
      <c r="Q26" s="21"/>
    </row>
    <row r="27" spans="2:24" ht="14.25" thickBot="1" x14ac:dyDescent="0.2">
      <c r="B27" s="20"/>
      <c r="F27" s="5"/>
      <c r="G27" s="5"/>
      <c r="H27" s="5"/>
      <c r="I27" s="5"/>
      <c r="J27" s="5"/>
      <c r="K27" s="5"/>
      <c r="L27" s="5"/>
      <c r="M27" s="5"/>
      <c r="N27" s="5"/>
      <c r="O27" s="13"/>
      <c r="P27" s="5"/>
      <c r="Q27" s="21"/>
    </row>
    <row r="28" spans="2:24" ht="14.25" thickBot="1" x14ac:dyDescent="0.2">
      <c r="B28" s="20"/>
      <c r="C28" s="14" t="s">
        <v>44</v>
      </c>
      <c r="D28" s="14"/>
      <c r="E28" s="11" t="s">
        <v>45</v>
      </c>
      <c r="F28" s="7">
        <f>O18</f>
        <v>28.305987662721172</v>
      </c>
      <c r="G28" s="5" t="s">
        <v>30</v>
      </c>
      <c r="H28" s="5" t="s">
        <v>46</v>
      </c>
      <c r="I28" s="15" t="e">
        <f>O25</f>
        <v>#DIV/0!</v>
      </c>
      <c r="J28" s="16" t="s">
        <v>47</v>
      </c>
      <c r="K28" s="5" t="s">
        <v>48</v>
      </c>
      <c r="L28" s="7">
        <f>O18</f>
        <v>28.305987662721172</v>
      </c>
      <c r="M28" s="5" t="s">
        <v>30</v>
      </c>
      <c r="N28" s="5" t="s">
        <v>49</v>
      </c>
      <c r="O28" s="57" t="e">
        <f>(F28-I28)/L28</f>
        <v>#DIV/0!</v>
      </c>
      <c r="P28" s="5" t="s">
        <v>36</v>
      </c>
      <c r="Q28" s="21"/>
    </row>
    <row r="29" spans="2:24" x14ac:dyDescent="0.15">
      <c r="B29" s="20"/>
      <c r="C29" s="38" t="s">
        <v>130</v>
      </c>
      <c r="D29" s="38"/>
      <c r="F29" s="5"/>
      <c r="G29" s="5"/>
      <c r="H29" s="5"/>
      <c r="I29" s="5"/>
      <c r="J29" s="5"/>
      <c r="K29" s="5"/>
      <c r="L29" s="5"/>
      <c r="M29" s="5"/>
      <c r="N29" s="5"/>
      <c r="O29" s="5"/>
      <c r="P29" s="5"/>
      <c r="Q29" s="21"/>
    </row>
    <row r="30" spans="2:24" ht="14.25" thickBot="1" x14ac:dyDescent="0.2">
      <c r="B30" s="20"/>
      <c r="C30" s="38"/>
      <c r="D30" s="38"/>
      <c r="F30" s="5"/>
      <c r="G30" s="5"/>
      <c r="H30" s="5"/>
      <c r="I30" s="5"/>
      <c r="J30" s="5"/>
      <c r="K30" s="5"/>
      <c r="L30" s="5"/>
      <c r="M30" s="5"/>
      <c r="N30" s="5"/>
      <c r="O30" s="5"/>
      <c r="P30" s="5"/>
      <c r="Q30" s="21"/>
    </row>
    <row r="31" spans="2:24" ht="14.25" thickBot="1" x14ac:dyDescent="0.2">
      <c r="B31" s="20"/>
      <c r="C31" s="38" t="s">
        <v>51</v>
      </c>
      <c r="D31" s="38"/>
      <c r="F31" s="5"/>
      <c r="G31" s="5"/>
      <c r="H31" s="5"/>
      <c r="I31" s="5"/>
      <c r="J31" s="5"/>
      <c r="K31" s="5"/>
      <c r="L31" s="5"/>
      <c r="M31" s="5"/>
      <c r="N31" s="5"/>
      <c r="O31" s="40" t="e">
        <f>IF(O28&gt;=0.2,"適格","不適")</f>
        <v>#DIV/0!</v>
      </c>
      <c r="P31" s="5"/>
      <c r="Q31" s="21"/>
    </row>
    <row r="32" spans="2:24" x14ac:dyDescent="0.15">
      <c r="B32" s="22"/>
      <c r="C32" s="29"/>
      <c r="D32" s="29"/>
      <c r="E32" s="4"/>
      <c r="F32" s="8"/>
      <c r="G32" s="8"/>
      <c r="H32" s="8"/>
      <c r="I32" s="8"/>
      <c r="J32" s="8"/>
      <c r="K32" s="8"/>
      <c r="L32" s="8"/>
      <c r="M32" s="8"/>
      <c r="N32" s="8"/>
      <c r="O32" s="8"/>
      <c r="P32" s="8"/>
      <c r="Q32" s="23"/>
      <c r="X32" s="16"/>
    </row>
    <row r="33" spans="2:17" x14ac:dyDescent="0.15">
      <c r="F33" s="5"/>
      <c r="G33" s="5"/>
      <c r="H33" s="5"/>
      <c r="I33" s="5"/>
      <c r="J33" s="5"/>
      <c r="K33" s="5"/>
      <c r="L33" s="5"/>
      <c r="M33" s="5"/>
      <c r="N33" s="5"/>
      <c r="O33" s="5"/>
      <c r="P33" s="5"/>
    </row>
    <row r="34" spans="2:17" ht="17.25" x14ac:dyDescent="0.15">
      <c r="B34" s="17"/>
      <c r="C34" s="28" t="s">
        <v>52</v>
      </c>
      <c r="D34" s="28"/>
      <c r="E34" s="18"/>
      <c r="F34" s="24"/>
      <c r="G34" s="24"/>
      <c r="H34" s="24"/>
      <c r="I34" s="24"/>
      <c r="J34" s="24"/>
      <c r="K34" s="24"/>
      <c r="L34" s="24"/>
      <c r="M34" s="24"/>
      <c r="N34" s="24"/>
      <c r="O34" s="24"/>
      <c r="P34" s="24"/>
      <c r="Q34" s="19"/>
    </row>
    <row r="35" spans="2:17" ht="14.25" thickBot="1" x14ac:dyDescent="0.2">
      <c r="B35" s="20"/>
      <c r="F35" s="5"/>
      <c r="G35" s="5"/>
      <c r="H35" s="5"/>
      <c r="I35" s="5"/>
      <c r="J35" s="5"/>
      <c r="K35" s="5"/>
      <c r="L35" s="5"/>
      <c r="M35" s="5"/>
      <c r="N35" s="5"/>
      <c r="O35" s="5"/>
      <c r="P35" s="5"/>
      <c r="Q35" s="21"/>
    </row>
    <row r="36" spans="2:17" ht="14.25" thickBot="1" x14ac:dyDescent="0.2">
      <c r="B36" s="20"/>
      <c r="C36" t="s">
        <v>53</v>
      </c>
      <c r="F36" s="5"/>
      <c r="G36" s="5"/>
      <c r="H36" s="5"/>
      <c r="K36" s="5"/>
      <c r="L36" s="5"/>
      <c r="M36" s="5"/>
      <c r="N36" s="5"/>
      <c r="O36" s="225">
        <f>機器費用/1000</f>
        <v>0</v>
      </c>
      <c r="P36" s="5" t="s">
        <v>15</v>
      </c>
      <c r="Q36" s="21"/>
    </row>
    <row r="37" spans="2:17" ht="14.25" thickBot="1" x14ac:dyDescent="0.2">
      <c r="B37" s="20"/>
      <c r="C37" t="s">
        <v>54</v>
      </c>
      <c r="F37" s="5"/>
      <c r="G37" s="5"/>
      <c r="H37" s="5"/>
      <c r="I37" s="5"/>
      <c r="J37" s="5"/>
      <c r="K37" s="5"/>
      <c r="L37" s="5"/>
      <c r="M37" s="5"/>
      <c r="N37" s="5"/>
      <c r="O37" s="225">
        <f>設定費用/1000</f>
        <v>0</v>
      </c>
      <c r="P37" s="5" t="s">
        <v>15</v>
      </c>
      <c r="Q37" s="21"/>
    </row>
    <row r="38" spans="2:17" x14ac:dyDescent="0.15">
      <c r="B38" s="20"/>
      <c r="C38" s="4" t="s">
        <v>55</v>
      </c>
      <c r="D38" s="4"/>
      <c r="E38" s="4"/>
      <c r="F38" s="8"/>
      <c r="G38" s="8"/>
      <c r="H38" s="8"/>
      <c r="I38" s="10">
        <f>'利用が想定される中小企業（製造業）'!$F$4</f>
        <v>1.4670000000000001</v>
      </c>
      <c r="J38" s="8" t="s">
        <v>56</v>
      </c>
      <c r="K38" s="8" t="s">
        <v>27</v>
      </c>
      <c r="L38" s="10">
        <f>IF(製品区分=凡例!A11,8,16)</f>
        <v>16</v>
      </c>
      <c r="M38" s="8" t="s">
        <v>57</v>
      </c>
      <c r="N38" s="8" t="s">
        <v>29</v>
      </c>
      <c r="O38" s="87">
        <f>L38*I38</f>
        <v>23.472000000000001</v>
      </c>
      <c r="P38" s="8" t="s">
        <v>58</v>
      </c>
      <c r="Q38" s="21"/>
    </row>
    <row r="39" spans="2:17" x14ac:dyDescent="0.15">
      <c r="B39" s="20"/>
      <c r="C39" t="s">
        <v>59</v>
      </c>
      <c r="F39" s="5"/>
      <c r="G39" s="5"/>
      <c r="H39" s="5"/>
      <c r="I39" s="5"/>
      <c r="J39" s="5"/>
      <c r="K39" s="5"/>
      <c r="L39" s="5"/>
      <c r="M39" s="5"/>
      <c r="N39" s="5"/>
      <c r="O39" s="25">
        <f>SUM(O36:O38)</f>
        <v>23.472000000000001</v>
      </c>
      <c r="P39" s="5" t="s">
        <v>58</v>
      </c>
      <c r="Q39" s="21"/>
    </row>
    <row r="40" spans="2:17" x14ac:dyDescent="0.15">
      <c r="B40" s="20"/>
      <c r="F40" s="5"/>
      <c r="G40" s="5"/>
      <c r="H40" s="5"/>
      <c r="I40" s="5"/>
      <c r="J40" s="5"/>
      <c r="K40" s="5"/>
      <c r="L40" s="5"/>
      <c r="M40" s="5"/>
      <c r="N40" s="5"/>
      <c r="O40" s="26"/>
      <c r="P40" s="5"/>
      <c r="Q40" s="21"/>
    </row>
    <row r="41" spans="2:17" x14ac:dyDescent="0.15">
      <c r="B41" s="20"/>
      <c r="C41" t="s">
        <v>60</v>
      </c>
      <c r="F41" s="6">
        <f>'利用が想定される中小企業（製造業）'!$F$4</f>
        <v>1.4670000000000001</v>
      </c>
      <c r="G41" s="5" t="s">
        <v>56</v>
      </c>
      <c r="H41" s="5" t="s">
        <v>27</v>
      </c>
      <c r="I41" s="15" t="e">
        <f>(O18-O25)/'利用が想定される中小企業（製造業）'!$F$13</f>
        <v>#DIV/0!</v>
      </c>
      <c r="J41" s="5" t="s">
        <v>61</v>
      </c>
      <c r="K41" s="5" t="s">
        <v>27</v>
      </c>
      <c r="L41" s="6">
        <f>'利用が想定される中小企業（製造業）'!$F$7</f>
        <v>250</v>
      </c>
      <c r="M41" s="5" t="s">
        <v>62</v>
      </c>
      <c r="N41" s="5" t="s">
        <v>29</v>
      </c>
      <c r="O41" s="25" t="e">
        <f>F41*I41*L41</f>
        <v>#DIV/0!</v>
      </c>
      <c r="P41" s="5" t="s">
        <v>63</v>
      </c>
      <c r="Q41" s="21"/>
    </row>
    <row r="42" spans="2:17" x14ac:dyDescent="0.15">
      <c r="B42" s="20"/>
      <c r="C42" s="4" t="s">
        <v>64</v>
      </c>
      <c r="D42" s="4"/>
      <c r="E42" s="4"/>
      <c r="F42" s="4"/>
      <c r="G42" s="8"/>
      <c r="H42" s="8"/>
      <c r="I42" s="10">
        <f>'利用が想定される中小企業（製造業）'!$F$5</f>
        <v>70</v>
      </c>
      <c r="J42" s="8" t="s">
        <v>65</v>
      </c>
      <c r="K42" s="8" t="s">
        <v>27</v>
      </c>
      <c r="L42" s="76" t="e">
        <f>(O18-O25)/8/'利用が想定される中小企業（製造業）'!$F$13</f>
        <v>#DIV/0!</v>
      </c>
      <c r="M42" s="8" t="s">
        <v>66</v>
      </c>
      <c r="N42" s="8" t="s">
        <v>29</v>
      </c>
      <c r="O42" s="86" t="e">
        <f>I42*L42</f>
        <v>#DIV/0!</v>
      </c>
      <c r="P42" s="8" t="s">
        <v>63</v>
      </c>
      <c r="Q42" s="21"/>
    </row>
    <row r="43" spans="2:17" x14ac:dyDescent="0.15">
      <c r="B43" s="20"/>
      <c r="C43" t="s">
        <v>67</v>
      </c>
      <c r="F43" s="5"/>
      <c r="G43" s="5"/>
      <c r="H43" s="5"/>
      <c r="I43" s="56"/>
      <c r="J43" s="5"/>
      <c r="K43" s="5"/>
      <c r="L43" s="5"/>
      <c r="M43" s="5"/>
      <c r="N43" s="5"/>
      <c r="O43" s="25" t="e">
        <f>SUM(O41:O42)</f>
        <v>#DIV/0!</v>
      </c>
      <c r="P43" s="5" t="s">
        <v>63</v>
      </c>
      <c r="Q43" s="21"/>
    </row>
    <row r="44" spans="2:17" ht="14.25" thickBot="1" x14ac:dyDescent="0.2">
      <c r="B44" s="20"/>
      <c r="F44" s="5"/>
      <c r="G44" s="5"/>
      <c r="H44" s="5"/>
      <c r="I44" s="5"/>
      <c r="J44" s="5"/>
      <c r="K44" s="5"/>
      <c r="L44" s="5"/>
      <c r="M44" s="5"/>
      <c r="N44" s="5"/>
      <c r="O44" s="26"/>
      <c r="P44" s="5"/>
      <c r="Q44" s="21"/>
    </row>
    <row r="45" spans="2:17" ht="14.25" thickBot="1" x14ac:dyDescent="0.2">
      <c r="B45" s="20"/>
      <c r="C45" s="14" t="s">
        <v>68</v>
      </c>
      <c r="D45" s="14"/>
      <c r="E45" s="5"/>
      <c r="F45" s="5"/>
      <c r="G45" s="5"/>
      <c r="H45" s="5"/>
      <c r="I45" s="27">
        <f>O39</f>
        <v>23.472000000000001</v>
      </c>
      <c r="J45" s="5" t="s">
        <v>15</v>
      </c>
      <c r="K45" s="5" t="s">
        <v>48</v>
      </c>
      <c r="L45" s="25" t="e">
        <f>O43</f>
        <v>#DIV/0!</v>
      </c>
      <c r="M45" s="5" t="s">
        <v>63</v>
      </c>
      <c r="N45" s="5" t="s">
        <v>29</v>
      </c>
      <c r="O45" s="32" t="e">
        <f>I45/L45</f>
        <v>#DIV/0!</v>
      </c>
      <c r="P45" s="5" t="s">
        <v>69</v>
      </c>
      <c r="Q45" s="21"/>
    </row>
    <row r="46" spans="2:17" x14ac:dyDescent="0.15">
      <c r="B46" s="20"/>
      <c r="C46" s="38" t="s">
        <v>70</v>
      </c>
      <c r="D46" s="14"/>
      <c r="F46" s="5"/>
      <c r="G46" s="5"/>
      <c r="H46" s="5"/>
      <c r="I46" s="39"/>
      <c r="J46" s="5"/>
      <c r="K46" s="5"/>
      <c r="L46" s="5"/>
      <c r="M46" s="5"/>
      <c r="N46" s="5"/>
      <c r="O46" s="13"/>
      <c r="P46" s="5"/>
      <c r="Q46" s="21"/>
    </row>
    <row r="47" spans="2:17" ht="14.25" thickBot="1" x14ac:dyDescent="0.2">
      <c r="B47" s="20"/>
      <c r="C47" s="38"/>
      <c r="D47" s="14"/>
      <c r="F47" s="5"/>
      <c r="G47" s="5"/>
      <c r="H47" s="5"/>
      <c r="I47" s="39"/>
      <c r="J47" s="5"/>
      <c r="K47" s="5"/>
      <c r="L47" s="5"/>
      <c r="M47" s="5"/>
      <c r="N47" s="5"/>
      <c r="O47" s="13"/>
      <c r="P47" s="5"/>
      <c r="Q47" s="21"/>
    </row>
    <row r="48" spans="2:17" ht="14.25" thickBot="1" x14ac:dyDescent="0.2">
      <c r="B48" s="20"/>
      <c r="C48" s="38" t="s">
        <v>51</v>
      </c>
      <c r="D48" s="14"/>
      <c r="F48" s="5"/>
      <c r="G48" s="5"/>
      <c r="H48" s="5"/>
      <c r="I48" s="39"/>
      <c r="J48" s="5"/>
      <c r="K48" s="5"/>
      <c r="L48" s="5"/>
      <c r="M48" s="5"/>
      <c r="N48" s="5"/>
      <c r="O48" s="32" t="e">
        <f>IF(O45&lt;4,"適格","不適")</f>
        <v>#DIV/0!</v>
      </c>
      <c r="P48" s="5"/>
      <c r="Q48" s="21"/>
    </row>
    <row r="49" spans="2:18" x14ac:dyDescent="0.15">
      <c r="B49" s="22"/>
      <c r="C49" s="29"/>
      <c r="D49" s="29"/>
      <c r="E49" s="4"/>
      <c r="F49" s="4"/>
      <c r="G49" s="4"/>
      <c r="H49" s="4"/>
      <c r="I49" s="4"/>
      <c r="J49" s="4"/>
      <c r="K49" s="4"/>
      <c r="L49" s="4"/>
      <c r="M49" s="4"/>
      <c r="N49" s="4"/>
      <c r="O49" s="4"/>
      <c r="P49" s="4"/>
      <c r="Q49" s="23"/>
      <c r="R49" s="33" t="s">
        <v>17</v>
      </c>
    </row>
  </sheetData>
  <sheetProtection algorithmName="SHA-512" hashValue="G3waAFW+kugW8lk1n0v/GdFTiewcQQgYEHhXY2d6T6rXwE3y/1sIHvpcFQAg4N1krH/dq+qzbh0S27F9QzRXtQ==" saltValue="rt2nO/zXlespVDSxFxYPxg==" spinCount="100000" sheet="1" objects="1" scenarios="1"/>
  <mergeCells count="5">
    <mergeCell ref="C2:P2"/>
    <mergeCell ref="N4:P4"/>
    <mergeCell ref="D6:M6"/>
    <mergeCell ref="D7:M7"/>
    <mergeCell ref="D11:H11"/>
  </mergeCells>
  <phoneticPr fontId="1"/>
  <pageMargins left="0.7" right="0.7" top="0.75" bottom="0.75" header="0.3" footer="0.3"/>
  <pageSetup paperSize="9" scale="63"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3CF0C-29EB-49A1-BEBE-392C67D3606C}">
  <sheetPr codeName="Sheet25">
    <pageSetUpPr fitToPage="1"/>
  </sheetPr>
  <dimension ref="A1:I20"/>
  <sheetViews>
    <sheetView view="pageBreakPreview" zoomScaleNormal="100" zoomScaleSheetLayoutView="100" workbookViewId="0">
      <selection sqref="A1:B1"/>
    </sheetView>
  </sheetViews>
  <sheetFormatPr defaultRowHeight="13.5" x14ac:dyDescent="0.15"/>
  <cols>
    <col min="1" max="1" width="4.625" bestFit="1" customWidth="1"/>
    <col min="2" max="2" width="29.875" bestFit="1" customWidth="1"/>
    <col min="3" max="3" width="13.75" bestFit="1" customWidth="1"/>
    <col min="4" max="6" width="10.625" customWidth="1"/>
    <col min="7" max="7" width="50.625" customWidth="1"/>
    <col min="8" max="9" width="9.125" bestFit="1" customWidth="1"/>
  </cols>
  <sheetData>
    <row r="1" spans="1:9" s="5" customFormat="1" x14ac:dyDescent="0.15">
      <c r="A1" s="556" t="s">
        <v>73</v>
      </c>
      <c r="B1" s="557"/>
      <c r="C1" s="66"/>
      <c r="D1" s="556" t="s">
        <v>74</v>
      </c>
      <c r="E1" s="558"/>
      <c r="F1" s="558"/>
      <c r="G1" s="55" t="s">
        <v>75</v>
      </c>
    </row>
    <row r="2" spans="1:9" s="5" customFormat="1" x14ac:dyDescent="0.15">
      <c r="A2" s="559"/>
      <c r="B2" s="560"/>
      <c r="C2" s="67" t="s">
        <v>76</v>
      </c>
      <c r="D2" s="68" t="s">
        <v>77</v>
      </c>
      <c r="E2" s="68" t="s">
        <v>78</v>
      </c>
      <c r="F2" s="68" t="s">
        <v>79</v>
      </c>
      <c r="G2" s="61"/>
    </row>
    <row r="3" spans="1:9" ht="45" customHeight="1" x14ac:dyDescent="0.15">
      <c r="A3" s="46" t="str">
        <f t="shared" ref="A3:A13" si="0">"("&amp;ROW()-2&amp;")"</f>
        <v>(1)</v>
      </c>
      <c r="B3" s="42" t="s">
        <v>4</v>
      </c>
      <c r="C3" s="70"/>
      <c r="D3" s="553" t="s">
        <v>131</v>
      </c>
      <c r="E3" s="554"/>
      <c r="F3" s="555"/>
      <c r="G3" s="49" t="s">
        <v>81</v>
      </c>
    </row>
    <row r="4" spans="1:9" ht="45" customHeight="1" x14ac:dyDescent="0.15">
      <c r="A4" s="47" t="str">
        <f t="shared" si="0"/>
        <v>(2)</v>
      </c>
      <c r="B4" s="44" t="s">
        <v>110</v>
      </c>
      <c r="C4" s="44" t="s">
        <v>111</v>
      </c>
      <c r="D4" s="47">
        <v>1.4670000000000001</v>
      </c>
      <c r="E4" s="47">
        <v>1.4670000000000001</v>
      </c>
      <c r="F4" s="47">
        <v>1.4670000000000001</v>
      </c>
      <c r="G4" s="43" t="s">
        <v>112</v>
      </c>
    </row>
    <row r="5" spans="1:9" ht="45" customHeight="1" x14ac:dyDescent="0.15">
      <c r="A5" s="47" t="str">
        <f t="shared" si="0"/>
        <v>(3)</v>
      </c>
      <c r="B5" s="44" t="s">
        <v>113</v>
      </c>
      <c r="C5" s="44" t="s">
        <v>111</v>
      </c>
      <c r="D5" s="47">
        <v>70</v>
      </c>
      <c r="E5" s="47">
        <v>70</v>
      </c>
      <c r="F5" s="47">
        <v>70</v>
      </c>
      <c r="G5" s="43" t="s">
        <v>87</v>
      </c>
    </row>
    <row r="6" spans="1:9" ht="45" customHeight="1" x14ac:dyDescent="0.15">
      <c r="A6" s="47" t="str">
        <f t="shared" si="0"/>
        <v>(4)</v>
      </c>
      <c r="B6" s="44" t="s">
        <v>114</v>
      </c>
      <c r="C6" s="44" t="s">
        <v>89</v>
      </c>
      <c r="D6" s="73">
        <v>3.9156400790308488</v>
      </c>
      <c r="E6" s="73">
        <v>17.83342468697942</v>
      </c>
      <c r="F6" s="73">
        <v>37.546570184545303</v>
      </c>
      <c r="G6" s="51" t="s">
        <v>132</v>
      </c>
    </row>
    <row r="7" spans="1:9" ht="45" customHeight="1" x14ac:dyDescent="0.15">
      <c r="A7" s="47" t="str">
        <f t="shared" si="0"/>
        <v>(5)</v>
      </c>
      <c r="B7" s="44" t="s">
        <v>91</v>
      </c>
      <c r="C7" s="44" t="s">
        <v>92</v>
      </c>
      <c r="D7" s="73">
        <v>250</v>
      </c>
      <c r="E7" s="73">
        <v>250</v>
      </c>
      <c r="F7" s="73">
        <v>250</v>
      </c>
      <c r="G7" s="51" t="s">
        <v>133</v>
      </c>
    </row>
    <row r="8" spans="1:9" ht="45" customHeight="1" x14ac:dyDescent="0.15">
      <c r="A8" s="47" t="str">
        <f t="shared" si="0"/>
        <v>(6)</v>
      </c>
      <c r="B8" s="44" t="s">
        <v>134</v>
      </c>
      <c r="C8" s="44" t="s">
        <v>135</v>
      </c>
      <c r="D8" s="69">
        <v>8</v>
      </c>
      <c r="E8" s="69">
        <v>8</v>
      </c>
      <c r="F8" s="69">
        <v>8</v>
      </c>
      <c r="G8" s="51"/>
    </row>
    <row r="9" spans="1:9" ht="45" customHeight="1" x14ac:dyDescent="0.15">
      <c r="A9" s="47" t="str">
        <f t="shared" si="0"/>
        <v>(7)</v>
      </c>
      <c r="B9" s="59" t="s">
        <v>136</v>
      </c>
      <c r="C9" s="59" t="s">
        <v>94</v>
      </c>
      <c r="D9" s="71">
        <f>SQRT(8882/12)*4*1/2</f>
        <v>54.41200847852123</v>
      </c>
      <c r="E9" s="71">
        <f>SQRT(8882/12)*4*1/2</f>
        <v>54.41200847852123</v>
      </c>
      <c r="F9" s="71">
        <f>SQRT(8882/12)*4*1/2</f>
        <v>54.41200847852123</v>
      </c>
      <c r="G9" s="51" t="s">
        <v>137</v>
      </c>
    </row>
    <row r="10" spans="1:9" ht="45" customHeight="1" x14ac:dyDescent="0.15">
      <c r="A10" s="47" t="str">
        <f t="shared" si="0"/>
        <v>(8)</v>
      </c>
      <c r="B10" s="59" t="s">
        <v>138</v>
      </c>
      <c r="C10" s="59" t="s">
        <v>139</v>
      </c>
      <c r="D10" s="74">
        <v>2</v>
      </c>
      <c r="E10" s="74">
        <v>2</v>
      </c>
      <c r="F10" s="74">
        <v>2</v>
      </c>
      <c r="G10" s="60" t="s">
        <v>140</v>
      </c>
    </row>
    <row r="11" spans="1:9" ht="45" customHeight="1" x14ac:dyDescent="0.15">
      <c r="A11" s="58" t="str">
        <f t="shared" si="0"/>
        <v>(9)</v>
      </c>
      <c r="B11" s="59" t="s">
        <v>141</v>
      </c>
      <c r="C11" s="59" t="s">
        <v>142</v>
      </c>
      <c r="D11" s="74">
        <v>6</v>
      </c>
      <c r="E11" s="74">
        <v>6</v>
      </c>
      <c r="F11" s="74">
        <v>6</v>
      </c>
      <c r="G11" s="60" t="s">
        <v>143</v>
      </c>
    </row>
    <row r="12" spans="1:9" ht="45" customHeight="1" x14ac:dyDescent="0.15">
      <c r="A12" s="58" t="str">
        <f t="shared" si="0"/>
        <v>(10)</v>
      </c>
      <c r="B12" s="59" t="s">
        <v>144</v>
      </c>
      <c r="C12" s="59" t="s">
        <v>145</v>
      </c>
      <c r="D12" s="74">
        <f>ROUND(D6*0.9/6,0)</f>
        <v>1</v>
      </c>
      <c r="E12" s="74">
        <f>ROUND(E6*0.9/6,0)</f>
        <v>3</v>
      </c>
      <c r="F12" s="74">
        <f>ROUND(F6*0.9/6,0)</f>
        <v>6</v>
      </c>
      <c r="G12" s="60" t="s">
        <v>146</v>
      </c>
    </row>
    <row r="13" spans="1:9" ht="45" customHeight="1" x14ac:dyDescent="0.15">
      <c r="A13" s="48" t="str">
        <f t="shared" si="0"/>
        <v>(11)</v>
      </c>
      <c r="B13" s="45" t="s">
        <v>120</v>
      </c>
      <c r="C13" s="45" t="s">
        <v>121</v>
      </c>
      <c r="D13" s="74">
        <f>D12</f>
        <v>1</v>
      </c>
      <c r="E13" s="74">
        <f>E12</f>
        <v>3</v>
      </c>
      <c r="F13" s="74">
        <f>F12</f>
        <v>6</v>
      </c>
      <c r="G13" s="50" t="s">
        <v>147</v>
      </c>
    </row>
    <row r="14" spans="1:9" ht="15.75" x14ac:dyDescent="0.15">
      <c r="H14" s="63"/>
      <c r="I14" s="63"/>
    </row>
    <row r="15" spans="1:9" ht="15.75" x14ac:dyDescent="0.15">
      <c r="H15" s="63"/>
      <c r="I15" s="63"/>
    </row>
    <row r="16" spans="1:9" ht="15.75" x14ac:dyDescent="0.15">
      <c r="H16" s="63"/>
      <c r="I16" s="63"/>
    </row>
    <row r="17" spans="8:9" ht="15.75" x14ac:dyDescent="0.15">
      <c r="H17" s="63"/>
      <c r="I17" s="63"/>
    </row>
    <row r="18" spans="8:9" ht="15.75" x14ac:dyDescent="0.15">
      <c r="H18" s="64"/>
      <c r="I18" s="64"/>
    </row>
    <row r="19" spans="8:9" ht="15.75" x14ac:dyDescent="0.15">
      <c r="H19" s="63"/>
      <c r="I19" s="63"/>
    </row>
    <row r="20" spans="8:9" ht="15.75" x14ac:dyDescent="0.15">
      <c r="H20" s="63"/>
      <c r="I20" s="63"/>
    </row>
  </sheetData>
  <sheetProtection algorithmName="SHA-512" hashValue="uTPLEiuTnJ4OHjJIomEI+Wq1rfkap8fqug46zhgRAQhbmyt/NQTDahFOypWD97//INJFSMnEhDuGh9ndr6SrYQ==" saltValue="iOe+4PeD5PHyVgU6tNFY9A==" spinCount="100000" sheet="1" objects="1" scenarios="1"/>
  <mergeCells count="4">
    <mergeCell ref="A1:B1"/>
    <mergeCell ref="D1:F1"/>
    <mergeCell ref="A2:B2"/>
    <mergeCell ref="D3:F3"/>
  </mergeCells>
  <phoneticPr fontId="1"/>
  <pageMargins left="0.7" right="0.7" top="0.75" bottom="0.75" header="0.3" footer="0.3"/>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34C3E-149F-43A4-BD8F-75B7E0F39E3E}">
  <sheetPr codeName="Sheet3">
    <tabColor rgb="FFFFFF00"/>
    <pageSetUpPr fitToPage="1"/>
  </sheetPr>
  <dimension ref="A1:G209"/>
  <sheetViews>
    <sheetView showGridLines="0" view="pageBreakPreview" zoomScale="115" zoomScaleNormal="70" zoomScaleSheetLayoutView="115" workbookViewId="0">
      <pane xSplit="2" ySplit="9" topLeftCell="C10" activePane="bottomRight" state="frozen"/>
      <selection activeCell="AU1" sqref="AU1:AU1048576"/>
      <selection pane="topRight" activeCell="AU1" sqref="AU1:AU1048576"/>
      <selection pane="bottomLeft" activeCell="AU1" sqref="AU1:AU1048576"/>
      <selection pane="bottomRight" sqref="A1:F1"/>
    </sheetView>
  </sheetViews>
  <sheetFormatPr defaultColWidth="8.625" defaultRowHeight="12" x14ac:dyDescent="0.15"/>
  <cols>
    <col min="1" max="1" width="1.125" style="216" customWidth="1"/>
    <col min="2" max="2" width="4" style="216" bestFit="1" customWidth="1"/>
    <col min="3" max="3" width="15.875" style="216" customWidth="1"/>
    <col min="4" max="4" width="51.875" style="216" customWidth="1"/>
    <col min="5" max="5" width="30.5" style="216" customWidth="1"/>
    <col min="6" max="6" width="1.875" style="216" customWidth="1"/>
    <col min="7" max="7" width="17.875" style="216" bestFit="1" customWidth="1"/>
    <col min="8" max="9" width="8.625" style="216"/>
    <col min="10" max="10" width="1.875" style="216" customWidth="1"/>
    <col min="11" max="16384" width="8.625" style="216"/>
  </cols>
  <sheetData>
    <row r="1" spans="1:7" s="194" customFormat="1" ht="15" thickBot="1" x14ac:dyDescent="0.2">
      <c r="A1" s="460" t="s">
        <v>407</v>
      </c>
      <c r="B1" s="461"/>
      <c r="C1" s="461"/>
      <c r="D1" s="461"/>
      <c r="E1" s="461"/>
      <c r="F1" s="462"/>
    </row>
    <row r="2" spans="1:7" s="195" customFormat="1" x14ac:dyDescent="0.15"/>
    <row r="3" spans="1:7" s="195" customFormat="1" ht="21" customHeight="1" x14ac:dyDescent="0.15">
      <c r="C3" s="196" t="s">
        <v>408</v>
      </c>
      <c r="D3" s="197">
        <f>製品名称</f>
        <v>0</v>
      </c>
    </row>
    <row r="4" spans="1:7" s="195" customFormat="1" ht="21" customHeight="1" thickBot="1" x14ac:dyDescent="0.2">
      <c r="C4" s="196" t="s">
        <v>235</v>
      </c>
      <c r="D4" s="198">
        <f>型番</f>
        <v>0</v>
      </c>
      <c r="E4" s="196" t="s">
        <v>409</v>
      </c>
    </row>
    <row r="5" spans="1:7" s="195" customFormat="1" ht="21" customHeight="1" thickBot="1" x14ac:dyDescent="0.2">
      <c r="C5" s="199" t="s">
        <v>410</v>
      </c>
      <c r="D5" s="200"/>
      <c r="E5" s="201" t="e">
        <f>AVERAGE(E10:E209)</f>
        <v>#DIV/0!</v>
      </c>
    </row>
    <row r="6" spans="1:7" s="195" customFormat="1" x14ac:dyDescent="0.15"/>
    <row r="7" spans="1:7" s="195" customFormat="1" ht="25.5" customHeight="1" x14ac:dyDescent="0.15">
      <c r="C7" s="463" t="str">
        <f>IF(COUNTIF(G10:G209,"未入力項目があります")&gt;0,"未入力項目があります",IF(COUNTIF(G10:G209,"OK")&lt;G7,G7&amp;"社以上の納品実績を入力してください",""))</f>
        <v>5社以上の納品実績を入力してください</v>
      </c>
      <c r="D7" s="463"/>
      <c r="E7" s="463"/>
      <c r="G7" s="202">
        <v>5</v>
      </c>
    </row>
    <row r="8" spans="1:7" s="195" customFormat="1" x14ac:dyDescent="0.15">
      <c r="B8" s="203" t="s">
        <v>303</v>
      </c>
      <c r="C8" s="203" t="s">
        <v>411</v>
      </c>
      <c r="D8" s="204" t="s">
        <v>412</v>
      </c>
      <c r="E8" s="205" t="s">
        <v>413</v>
      </c>
    </row>
    <row r="9" spans="1:7" s="195" customFormat="1" ht="16.5" x14ac:dyDescent="0.15">
      <c r="B9" s="206" t="s">
        <v>414</v>
      </c>
      <c r="C9" s="207">
        <v>45364</v>
      </c>
      <c r="D9" s="208" t="s">
        <v>415</v>
      </c>
      <c r="E9" s="209">
        <v>1000000</v>
      </c>
    </row>
    <row r="10" spans="1:7" s="195" customFormat="1" ht="17.25" customHeight="1" x14ac:dyDescent="0.15">
      <c r="B10" s="210">
        <v>1</v>
      </c>
      <c r="C10" s="211"/>
      <c r="D10" s="212"/>
      <c r="E10" s="213"/>
      <c r="G10" s="214" t="str">
        <f t="shared" ref="G10:G73" si="0">IF(COUNTA(C10:E10)=0,"",IF(COUNTA(C10:E10)=3,"OK","未入力項目があります"))</f>
        <v/>
      </c>
    </row>
    <row r="11" spans="1:7" s="195" customFormat="1" ht="17.25" customHeight="1" x14ac:dyDescent="0.15">
      <c r="B11" s="210">
        <v>2</v>
      </c>
      <c r="C11" s="211"/>
      <c r="D11" s="212"/>
      <c r="E11" s="213"/>
      <c r="G11" s="214" t="str">
        <f t="shared" si="0"/>
        <v/>
      </c>
    </row>
    <row r="12" spans="1:7" s="195" customFormat="1" ht="17.25" customHeight="1" x14ac:dyDescent="0.15">
      <c r="B12" s="210">
        <v>3</v>
      </c>
      <c r="C12" s="211"/>
      <c r="D12" s="212"/>
      <c r="E12" s="213"/>
      <c r="G12" s="214" t="str">
        <f t="shared" si="0"/>
        <v/>
      </c>
    </row>
    <row r="13" spans="1:7" s="195" customFormat="1" ht="17.25" customHeight="1" x14ac:dyDescent="0.15">
      <c r="B13" s="210">
        <v>4</v>
      </c>
      <c r="C13" s="211"/>
      <c r="D13" s="212"/>
      <c r="E13" s="213"/>
      <c r="G13" s="214" t="str">
        <f t="shared" si="0"/>
        <v/>
      </c>
    </row>
    <row r="14" spans="1:7" s="195" customFormat="1" ht="17.25" customHeight="1" x14ac:dyDescent="0.15">
      <c r="B14" s="210">
        <v>5</v>
      </c>
      <c r="C14" s="211"/>
      <c r="D14" s="212"/>
      <c r="E14" s="213"/>
      <c r="G14" s="214" t="str">
        <f t="shared" si="0"/>
        <v/>
      </c>
    </row>
    <row r="15" spans="1:7" s="195" customFormat="1" ht="17.25" customHeight="1" x14ac:dyDescent="0.15">
      <c r="B15" s="210">
        <v>6</v>
      </c>
      <c r="C15" s="211"/>
      <c r="D15" s="212"/>
      <c r="E15" s="213"/>
      <c r="G15" s="214" t="str">
        <f t="shared" si="0"/>
        <v/>
      </c>
    </row>
    <row r="16" spans="1:7" s="195" customFormat="1" ht="17.25" customHeight="1" x14ac:dyDescent="0.15">
      <c r="B16" s="210">
        <v>7</v>
      </c>
      <c r="C16" s="211"/>
      <c r="D16" s="212"/>
      <c r="E16" s="213"/>
      <c r="G16" s="214" t="str">
        <f t="shared" si="0"/>
        <v/>
      </c>
    </row>
    <row r="17" spans="2:7" s="195" customFormat="1" ht="17.25" customHeight="1" x14ac:dyDescent="0.15">
      <c r="B17" s="210">
        <v>8</v>
      </c>
      <c r="C17" s="211"/>
      <c r="D17" s="212"/>
      <c r="E17" s="213"/>
      <c r="G17" s="214" t="str">
        <f t="shared" si="0"/>
        <v/>
      </c>
    </row>
    <row r="18" spans="2:7" s="195" customFormat="1" ht="17.25" customHeight="1" x14ac:dyDescent="0.15">
      <c r="B18" s="210">
        <v>9</v>
      </c>
      <c r="C18" s="211"/>
      <c r="D18" s="212"/>
      <c r="E18" s="213"/>
      <c r="G18" s="214" t="str">
        <f t="shared" si="0"/>
        <v/>
      </c>
    </row>
    <row r="19" spans="2:7" s="195" customFormat="1" ht="17.25" customHeight="1" x14ac:dyDescent="0.15">
      <c r="B19" s="210">
        <v>10</v>
      </c>
      <c r="C19" s="211"/>
      <c r="D19" s="212"/>
      <c r="E19" s="213"/>
      <c r="G19" s="214" t="str">
        <f t="shared" si="0"/>
        <v/>
      </c>
    </row>
    <row r="20" spans="2:7" s="195" customFormat="1" ht="17.25" customHeight="1" x14ac:dyDescent="0.15">
      <c r="B20" s="210">
        <v>11</v>
      </c>
      <c r="C20" s="211"/>
      <c r="D20" s="212"/>
      <c r="E20" s="213"/>
      <c r="G20" s="214" t="str">
        <f t="shared" si="0"/>
        <v/>
      </c>
    </row>
    <row r="21" spans="2:7" s="195" customFormat="1" ht="17.25" customHeight="1" x14ac:dyDescent="0.15">
      <c r="B21" s="210">
        <v>12</v>
      </c>
      <c r="C21" s="211"/>
      <c r="D21" s="212"/>
      <c r="E21" s="213"/>
      <c r="G21" s="214" t="str">
        <f t="shared" si="0"/>
        <v/>
      </c>
    </row>
    <row r="22" spans="2:7" s="195" customFormat="1" ht="17.25" customHeight="1" x14ac:dyDescent="0.15">
      <c r="B22" s="210">
        <v>13</v>
      </c>
      <c r="C22" s="211"/>
      <c r="D22" s="212"/>
      <c r="E22" s="213"/>
      <c r="G22" s="214" t="str">
        <f t="shared" si="0"/>
        <v/>
      </c>
    </row>
    <row r="23" spans="2:7" s="195" customFormat="1" ht="17.25" customHeight="1" x14ac:dyDescent="0.15">
      <c r="B23" s="210">
        <v>14</v>
      </c>
      <c r="C23" s="211"/>
      <c r="D23" s="212"/>
      <c r="E23" s="213"/>
      <c r="G23" s="214" t="str">
        <f t="shared" si="0"/>
        <v/>
      </c>
    </row>
    <row r="24" spans="2:7" s="195" customFormat="1" ht="17.25" customHeight="1" x14ac:dyDescent="0.15">
      <c r="B24" s="210">
        <v>15</v>
      </c>
      <c r="C24" s="211"/>
      <c r="D24" s="212"/>
      <c r="E24" s="213"/>
      <c r="G24" s="214" t="str">
        <f t="shared" si="0"/>
        <v/>
      </c>
    </row>
    <row r="25" spans="2:7" s="195" customFormat="1" ht="17.25" customHeight="1" x14ac:dyDescent="0.15">
      <c r="B25" s="210">
        <v>16</v>
      </c>
      <c r="C25" s="211"/>
      <c r="D25" s="212"/>
      <c r="E25" s="213"/>
      <c r="G25" s="214" t="str">
        <f t="shared" si="0"/>
        <v/>
      </c>
    </row>
    <row r="26" spans="2:7" s="195" customFormat="1" ht="17.25" customHeight="1" x14ac:dyDescent="0.15">
      <c r="B26" s="210">
        <v>17</v>
      </c>
      <c r="C26" s="211"/>
      <c r="D26" s="212"/>
      <c r="E26" s="213"/>
      <c r="G26" s="214" t="str">
        <f t="shared" si="0"/>
        <v/>
      </c>
    </row>
    <row r="27" spans="2:7" s="195" customFormat="1" ht="17.25" customHeight="1" x14ac:dyDescent="0.15">
      <c r="B27" s="210">
        <v>18</v>
      </c>
      <c r="C27" s="211"/>
      <c r="D27" s="212"/>
      <c r="E27" s="213"/>
      <c r="G27" s="214" t="str">
        <f t="shared" si="0"/>
        <v/>
      </c>
    </row>
    <row r="28" spans="2:7" s="195" customFormat="1" ht="17.25" customHeight="1" x14ac:dyDescent="0.15">
      <c r="B28" s="210">
        <v>19</v>
      </c>
      <c r="C28" s="211"/>
      <c r="D28" s="212"/>
      <c r="E28" s="213"/>
      <c r="G28" s="214" t="str">
        <f t="shared" si="0"/>
        <v/>
      </c>
    </row>
    <row r="29" spans="2:7" s="195" customFormat="1" ht="17.25" customHeight="1" x14ac:dyDescent="0.15">
      <c r="B29" s="210">
        <v>20</v>
      </c>
      <c r="C29" s="215"/>
      <c r="D29" s="212"/>
      <c r="E29" s="213"/>
      <c r="G29" s="214" t="str">
        <f t="shared" si="0"/>
        <v/>
      </c>
    </row>
    <row r="30" spans="2:7" s="195" customFormat="1" ht="17.25" customHeight="1" x14ac:dyDescent="0.15">
      <c r="B30" s="210">
        <v>21</v>
      </c>
      <c r="C30" s="215"/>
      <c r="D30" s="212"/>
      <c r="E30" s="213"/>
      <c r="G30" s="214" t="str">
        <f t="shared" si="0"/>
        <v/>
      </c>
    </row>
    <row r="31" spans="2:7" s="195" customFormat="1" ht="17.25" customHeight="1" x14ac:dyDescent="0.15">
      <c r="B31" s="210">
        <v>22</v>
      </c>
      <c r="C31" s="215"/>
      <c r="D31" s="212"/>
      <c r="E31" s="213"/>
      <c r="G31" s="214" t="str">
        <f t="shared" si="0"/>
        <v/>
      </c>
    </row>
    <row r="32" spans="2:7" s="195" customFormat="1" ht="17.25" customHeight="1" x14ac:dyDescent="0.15">
      <c r="B32" s="210">
        <v>23</v>
      </c>
      <c r="C32" s="215"/>
      <c r="D32" s="212"/>
      <c r="E32" s="213"/>
      <c r="G32" s="214" t="str">
        <f t="shared" si="0"/>
        <v/>
      </c>
    </row>
    <row r="33" spans="2:7" s="195" customFormat="1" ht="17.25" customHeight="1" x14ac:dyDescent="0.15">
      <c r="B33" s="210">
        <v>24</v>
      </c>
      <c r="C33" s="215"/>
      <c r="D33" s="212"/>
      <c r="E33" s="213"/>
      <c r="G33" s="214" t="str">
        <f t="shared" si="0"/>
        <v/>
      </c>
    </row>
    <row r="34" spans="2:7" s="195" customFormat="1" ht="17.25" customHeight="1" x14ac:dyDescent="0.15">
      <c r="B34" s="210">
        <v>25</v>
      </c>
      <c r="C34" s="215"/>
      <c r="D34" s="212"/>
      <c r="E34" s="213"/>
      <c r="G34" s="214" t="str">
        <f t="shared" si="0"/>
        <v/>
      </c>
    </row>
    <row r="35" spans="2:7" s="195" customFormat="1" ht="17.25" customHeight="1" x14ac:dyDescent="0.15">
      <c r="B35" s="210">
        <v>26</v>
      </c>
      <c r="C35" s="215"/>
      <c r="D35" s="212"/>
      <c r="E35" s="213"/>
      <c r="G35" s="214" t="str">
        <f t="shared" si="0"/>
        <v/>
      </c>
    </row>
    <row r="36" spans="2:7" s="195" customFormat="1" ht="17.25" customHeight="1" x14ac:dyDescent="0.15">
      <c r="B36" s="210">
        <v>27</v>
      </c>
      <c r="C36" s="215"/>
      <c r="D36" s="212"/>
      <c r="E36" s="213"/>
      <c r="G36" s="214" t="str">
        <f t="shared" si="0"/>
        <v/>
      </c>
    </row>
    <row r="37" spans="2:7" s="195" customFormat="1" ht="17.25" customHeight="1" x14ac:dyDescent="0.15">
      <c r="B37" s="210">
        <v>28</v>
      </c>
      <c r="C37" s="215"/>
      <c r="D37" s="212"/>
      <c r="E37" s="213"/>
      <c r="G37" s="214" t="str">
        <f t="shared" si="0"/>
        <v/>
      </c>
    </row>
    <row r="38" spans="2:7" s="195" customFormat="1" ht="17.25" customHeight="1" x14ac:dyDescent="0.15">
      <c r="B38" s="210">
        <v>29</v>
      </c>
      <c r="C38" s="215"/>
      <c r="D38" s="212"/>
      <c r="E38" s="213"/>
      <c r="G38" s="214" t="str">
        <f t="shared" si="0"/>
        <v/>
      </c>
    </row>
    <row r="39" spans="2:7" s="195" customFormat="1" ht="17.25" customHeight="1" x14ac:dyDescent="0.15">
      <c r="B39" s="210">
        <v>30</v>
      </c>
      <c r="C39" s="215"/>
      <c r="D39" s="212"/>
      <c r="E39" s="213"/>
      <c r="G39" s="214" t="str">
        <f t="shared" si="0"/>
        <v/>
      </c>
    </row>
    <row r="40" spans="2:7" s="195" customFormat="1" ht="17.25" customHeight="1" x14ac:dyDescent="0.15">
      <c r="B40" s="210">
        <v>31</v>
      </c>
      <c r="C40" s="215"/>
      <c r="D40" s="212"/>
      <c r="E40" s="213"/>
      <c r="G40" s="214" t="str">
        <f t="shared" si="0"/>
        <v/>
      </c>
    </row>
    <row r="41" spans="2:7" s="195" customFormat="1" ht="17.25" customHeight="1" x14ac:dyDescent="0.15">
      <c r="B41" s="210">
        <v>32</v>
      </c>
      <c r="C41" s="215"/>
      <c r="D41" s="212"/>
      <c r="E41" s="213"/>
      <c r="G41" s="214" t="str">
        <f t="shared" si="0"/>
        <v/>
      </c>
    </row>
    <row r="42" spans="2:7" s="195" customFormat="1" ht="17.25" customHeight="1" x14ac:dyDescent="0.15">
      <c r="B42" s="210">
        <v>33</v>
      </c>
      <c r="C42" s="215"/>
      <c r="D42" s="212"/>
      <c r="E42" s="213"/>
      <c r="G42" s="214" t="str">
        <f t="shared" si="0"/>
        <v/>
      </c>
    </row>
    <row r="43" spans="2:7" s="195" customFormat="1" ht="17.25" customHeight="1" x14ac:dyDescent="0.15">
      <c r="B43" s="210">
        <v>34</v>
      </c>
      <c r="C43" s="215"/>
      <c r="D43" s="212"/>
      <c r="E43" s="213"/>
      <c r="G43" s="214" t="str">
        <f t="shared" si="0"/>
        <v/>
      </c>
    </row>
    <row r="44" spans="2:7" s="195" customFormat="1" ht="17.25" customHeight="1" x14ac:dyDescent="0.15">
      <c r="B44" s="210">
        <v>35</v>
      </c>
      <c r="C44" s="215"/>
      <c r="D44" s="212"/>
      <c r="E44" s="213"/>
      <c r="G44" s="214" t="str">
        <f t="shared" si="0"/>
        <v/>
      </c>
    </row>
    <row r="45" spans="2:7" s="195" customFormat="1" ht="17.25" customHeight="1" x14ac:dyDescent="0.15">
      <c r="B45" s="210">
        <v>36</v>
      </c>
      <c r="C45" s="215"/>
      <c r="D45" s="212"/>
      <c r="E45" s="213"/>
      <c r="G45" s="214" t="str">
        <f t="shared" si="0"/>
        <v/>
      </c>
    </row>
    <row r="46" spans="2:7" s="195" customFormat="1" ht="17.25" customHeight="1" x14ac:dyDescent="0.15">
      <c r="B46" s="210">
        <v>37</v>
      </c>
      <c r="C46" s="215"/>
      <c r="D46" s="212"/>
      <c r="E46" s="213"/>
      <c r="G46" s="214" t="str">
        <f t="shared" si="0"/>
        <v/>
      </c>
    </row>
    <row r="47" spans="2:7" s="195" customFormat="1" ht="17.25" customHeight="1" x14ac:dyDescent="0.15">
      <c r="B47" s="210">
        <v>38</v>
      </c>
      <c r="C47" s="215"/>
      <c r="D47" s="212"/>
      <c r="E47" s="213"/>
      <c r="G47" s="214" t="str">
        <f t="shared" si="0"/>
        <v/>
      </c>
    </row>
    <row r="48" spans="2:7" s="195" customFormat="1" ht="17.25" customHeight="1" x14ac:dyDescent="0.15">
      <c r="B48" s="210">
        <v>39</v>
      </c>
      <c r="C48" s="215"/>
      <c r="D48" s="212"/>
      <c r="E48" s="213"/>
      <c r="G48" s="214" t="str">
        <f t="shared" si="0"/>
        <v/>
      </c>
    </row>
    <row r="49" spans="2:7" s="195" customFormat="1" ht="17.25" customHeight="1" x14ac:dyDescent="0.15">
      <c r="B49" s="210">
        <v>40</v>
      </c>
      <c r="C49" s="215"/>
      <c r="D49" s="212"/>
      <c r="E49" s="213"/>
      <c r="G49" s="214" t="str">
        <f t="shared" si="0"/>
        <v/>
      </c>
    </row>
    <row r="50" spans="2:7" s="195" customFormat="1" ht="17.25" customHeight="1" x14ac:dyDescent="0.15">
      <c r="B50" s="210">
        <v>41</v>
      </c>
      <c r="C50" s="215"/>
      <c r="D50" s="212"/>
      <c r="E50" s="213"/>
      <c r="G50" s="214" t="str">
        <f t="shared" si="0"/>
        <v/>
      </c>
    </row>
    <row r="51" spans="2:7" s="195" customFormat="1" ht="17.25" customHeight="1" x14ac:dyDescent="0.15">
      <c r="B51" s="210">
        <v>42</v>
      </c>
      <c r="C51" s="215"/>
      <c r="D51" s="212"/>
      <c r="E51" s="213"/>
      <c r="G51" s="214" t="str">
        <f t="shared" si="0"/>
        <v/>
      </c>
    </row>
    <row r="52" spans="2:7" s="195" customFormat="1" ht="17.25" customHeight="1" x14ac:dyDescent="0.15">
      <c r="B52" s="210">
        <v>43</v>
      </c>
      <c r="C52" s="215"/>
      <c r="D52" s="212"/>
      <c r="E52" s="213"/>
      <c r="G52" s="214" t="str">
        <f t="shared" si="0"/>
        <v/>
      </c>
    </row>
    <row r="53" spans="2:7" s="195" customFormat="1" ht="17.25" customHeight="1" x14ac:dyDescent="0.15">
      <c r="B53" s="210">
        <v>44</v>
      </c>
      <c r="C53" s="215"/>
      <c r="D53" s="212"/>
      <c r="E53" s="213"/>
      <c r="G53" s="214" t="str">
        <f t="shared" si="0"/>
        <v/>
      </c>
    </row>
    <row r="54" spans="2:7" s="195" customFormat="1" ht="17.25" customHeight="1" x14ac:dyDescent="0.15">
      <c r="B54" s="210">
        <v>45</v>
      </c>
      <c r="C54" s="215"/>
      <c r="D54" s="212"/>
      <c r="E54" s="213"/>
      <c r="G54" s="214" t="str">
        <f t="shared" si="0"/>
        <v/>
      </c>
    </row>
    <row r="55" spans="2:7" s="195" customFormat="1" ht="17.25" customHeight="1" x14ac:dyDescent="0.15">
      <c r="B55" s="210">
        <v>46</v>
      </c>
      <c r="C55" s="215"/>
      <c r="D55" s="212"/>
      <c r="E55" s="213"/>
      <c r="G55" s="214" t="str">
        <f t="shared" si="0"/>
        <v/>
      </c>
    </row>
    <row r="56" spans="2:7" s="195" customFormat="1" ht="17.25" customHeight="1" x14ac:dyDescent="0.15">
      <c r="B56" s="210">
        <v>47</v>
      </c>
      <c r="C56" s="215"/>
      <c r="D56" s="212"/>
      <c r="E56" s="213"/>
      <c r="G56" s="214" t="str">
        <f t="shared" si="0"/>
        <v/>
      </c>
    </row>
    <row r="57" spans="2:7" s="195" customFormat="1" ht="17.25" customHeight="1" x14ac:dyDescent="0.15">
      <c r="B57" s="210">
        <v>48</v>
      </c>
      <c r="C57" s="215"/>
      <c r="D57" s="212"/>
      <c r="E57" s="213"/>
      <c r="G57" s="214" t="str">
        <f t="shared" si="0"/>
        <v/>
      </c>
    </row>
    <row r="58" spans="2:7" s="195" customFormat="1" ht="17.25" customHeight="1" x14ac:dyDescent="0.15">
      <c r="B58" s="210">
        <v>49</v>
      </c>
      <c r="C58" s="215"/>
      <c r="D58" s="212"/>
      <c r="E58" s="213"/>
      <c r="G58" s="214" t="str">
        <f t="shared" si="0"/>
        <v/>
      </c>
    </row>
    <row r="59" spans="2:7" s="195" customFormat="1" ht="17.25" customHeight="1" x14ac:dyDescent="0.15">
      <c r="B59" s="210">
        <v>50</v>
      </c>
      <c r="C59" s="215"/>
      <c r="D59" s="212"/>
      <c r="E59" s="213"/>
      <c r="G59" s="214" t="str">
        <f t="shared" si="0"/>
        <v/>
      </c>
    </row>
    <row r="60" spans="2:7" s="195" customFormat="1" ht="17.25" customHeight="1" x14ac:dyDescent="0.15">
      <c r="B60" s="210">
        <v>51</v>
      </c>
      <c r="C60" s="215"/>
      <c r="D60" s="212"/>
      <c r="E60" s="213"/>
      <c r="G60" s="214" t="str">
        <f t="shared" si="0"/>
        <v/>
      </c>
    </row>
    <row r="61" spans="2:7" s="195" customFormat="1" ht="17.25" customHeight="1" x14ac:dyDescent="0.15">
      <c r="B61" s="210">
        <v>52</v>
      </c>
      <c r="C61" s="215"/>
      <c r="D61" s="212"/>
      <c r="E61" s="213"/>
      <c r="G61" s="214" t="str">
        <f t="shared" si="0"/>
        <v/>
      </c>
    </row>
    <row r="62" spans="2:7" s="195" customFormat="1" ht="17.25" customHeight="1" x14ac:dyDescent="0.15">
      <c r="B62" s="210">
        <v>53</v>
      </c>
      <c r="C62" s="215"/>
      <c r="D62" s="212"/>
      <c r="E62" s="213"/>
      <c r="G62" s="214" t="str">
        <f t="shared" si="0"/>
        <v/>
      </c>
    </row>
    <row r="63" spans="2:7" s="195" customFormat="1" ht="17.25" customHeight="1" x14ac:dyDescent="0.15">
      <c r="B63" s="210">
        <v>54</v>
      </c>
      <c r="C63" s="215"/>
      <c r="D63" s="212"/>
      <c r="E63" s="213"/>
      <c r="G63" s="214" t="str">
        <f t="shared" si="0"/>
        <v/>
      </c>
    </row>
    <row r="64" spans="2:7" s="195" customFormat="1" ht="17.25" customHeight="1" x14ac:dyDescent="0.15">
      <c r="B64" s="210">
        <v>55</v>
      </c>
      <c r="C64" s="215"/>
      <c r="D64" s="212"/>
      <c r="E64" s="213"/>
      <c r="G64" s="214" t="str">
        <f t="shared" si="0"/>
        <v/>
      </c>
    </row>
    <row r="65" spans="2:7" s="195" customFormat="1" ht="17.25" customHeight="1" x14ac:dyDescent="0.15">
      <c r="B65" s="210">
        <v>56</v>
      </c>
      <c r="C65" s="215"/>
      <c r="D65" s="212"/>
      <c r="E65" s="213"/>
      <c r="G65" s="214" t="str">
        <f t="shared" si="0"/>
        <v/>
      </c>
    </row>
    <row r="66" spans="2:7" s="195" customFormat="1" ht="17.25" customHeight="1" x14ac:dyDescent="0.15">
      <c r="B66" s="210">
        <v>57</v>
      </c>
      <c r="C66" s="215"/>
      <c r="D66" s="212"/>
      <c r="E66" s="213"/>
      <c r="G66" s="214" t="str">
        <f t="shared" si="0"/>
        <v/>
      </c>
    </row>
    <row r="67" spans="2:7" s="195" customFormat="1" ht="17.25" customHeight="1" x14ac:dyDescent="0.15">
      <c r="B67" s="210">
        <v>58</v>
      </c>
      <c r="C67" s="215"/>
      <c r="D67" s="212"/>
      <c r="E67" s="213"/>
      <c r="G67" s="214" t="str">
        <f t="shared" si="0"/>
        <v/>
      </c>
    </row>
    <row r="68" spans="2:7" s="195" customFormat="1" ht="17.25" customHeight="1" x14ac:dyDescent="0.15">
      <c r="B68" s="210">
        <v>59</v>
      </c>
      <c r="C68" s="215"/>
      <c r="D68" s="212"/>
      <c r="E68" s="213"/>
      <c r="G68" s="214" t="str">
        <f t="shared" si="0"/>
        <v/>
      </c>
    </row>
    <row r="69" spans="2:7" s="195" customFormat="1" ht="17.25" customHeight="1" x14ac:dyDescent="0.15">
      <c r="B69" s="210">
        <v>60</v>
      </c>
      <c r="C69" s="215"/>
      <c r="D69" s="212"/>
      <c r="E69" s="213"/>
      <c r="G69" s="214" t="str">
        <f t="shared" si="0"/>
        <v/>
      </c>
    </row>
    <row r="70" spans="2:7" s="195" customFormat="1" ht="17.25" customHeight="1" x14ac:dyDescent="0.15">
      <c r="B70" s="210">
        <v>61</v>
      </c>
      <c r="C70" s="215"/>
      <c r="D70" s="212"/>
      <c r="E70" s="213"/>
      <c r="G70" s="214" t="str">
        <f t="shared" si="0"/>
        <v/>
      </c>
    </row>
    <row r="71" spans="2:7" s="195" customFormat="1" ht="17.25" customHeight="1" x14ac:dyDescent="0.15">
      <c r="B71" s="210">
        <v>62</v>
      </c>
      <c r="C71" s="215"/>
      <c r="D71" s="212"/>
      <c r="E71" s="213"/>
      <c r="G71" s="214" t="str">
        <f t="shared" si="0"/>
        <v/>
      </c>
    </row>
    <row r="72" spans="2:7" s="195" customFormat="1" ht="17.25" customHeight="1" x14ac:dyDescent="0.15">
      <c r="B72" s="210">
        <v>63</v>
      </c>
      <c r="C72" s="215"/>
      <c r="D72" s="212"/>
      <c r="E72" s="213"/>
      <c r="G72" s="214" t="str">
        <f t="shared" si="0"/>
        <v/>
      </c>
    </row>
    <row r="73" spans="2:7" s="195" customFormat="1" ht="17.25" customHeight="1" x14ac:dyDescent="0.15">
      <c r="B73" s="210">
        <v>64</v>
      </c>
      <c r="C73" s="215"/>
      <c r="D73" s="212"/>
      <c r="E73" s="213"/>
      <c r="G73" s="214" t="str">
        <f t="shared" si="0"/>
        <v/>
      </c>
    </row>
    <row r="74" spans="2:7" s="195" customFormat="1" ht="17.25" customHeight="1" x14ac:dyDescent="0.15">
      <c r="B74" s="210">
        <v>65</v>
      </c>
      <c r="C74" s="215"/>
      <c r="D74" s="212"/>
      <c r="E74" s="213"/>
      <c r="G74" s="214" t="str">
        <f t="shared" ref="G74:G137" si="1">IF(COUNTA(C74:E74)=0,"",IF(COUNTA(C74:E74)=3,"OK","未入力項目があります"))</f>
        <v/>
      </c>
    </row>
    <row r="75" spans="2:7" s="195" customFormat="1" ht="17.25" customHeight="1" x14ac:dyDescent="0.15">
      <c r="B75" s="210">
        <v>66</v>
      </c>
      <c r="C75" s="215"/>
      <c r="D75" s="212"/>
      <c r="E75" s="213"/>
      <c r="G75" s="214" t="str">
        <f t="shared" si="1"/>
        <v/>
      </c>
    </row>
    <row r="76" spans="2:7" s="195" customFormat="1" ht="17.25" customHeight="1" x14ac:dyDescent="0.15">
      <c r="B76" s="210">
        <v>67</v>
      </c>
      <c r="C76" s="215"/>
      <c r="D76" s="212"/>
      <c r="E76" s="213"/>
      <c r="G76" s="214" t="str">
        <f t="shared" si="1"/>
        <v/>
      </c>
    </row>
    <row r="77" spans="2:7" s="195" customFormat="1" ht="17.25" customHeight="1" x14ac:dyDescent="0.15">
      <c r="B77" s="210">
        <v>68</v>
      </c>
      <c r="C77" s="215"/>
      <c r="D77" s="212"/>
      <c r="E77" s="213"/>
      <c r="G77" s="214" t="str">
        <f t="shared" si="1"/>
        <v/>
      </c>
    </row>
    <row r="78" spans="2:7" s="195" customFormat="1" ht="17.25" customHeight="1" x14ac:dyDescent="0.15">
      <c r="B78" s="210">
        <v>69</v>
      </c>
      <c r="C78" s="215"/>
      <c r="D78" s="212"/>
      <c r="E78" s="213"/>
      <c r="G78" s="214" t="str">
        <f t="shared" si="1"/>
        <v/>
      </c>
    </row>
    <row r="79" spans="2:7" s="195" customFormat="1" ht="17.25" customHeight="1" x14ac:dyDescent="0.15">
      <c r="B79" s="210">
        <v>70</v>
      </c>
      <c r="C79" s="215"/>
      <c r="D79" s="212"/>
      <c r="E79" s="213"/>
      <c r="G79" s="214" t="str">
        <f t="shared" si="1"/>
        <v/>
      </c>
    </row>
    <row r="80" spans="2:7" s="195" customFormat="1" ht="17.25" customHeight="1" x14ac:dyDescent="0.15">
      <c r="B80" s="210">
        <v>71</v>
      </c>
      <c r="C80" s="215"/>
      <c r="D80" s="212"/>
      <c r="E80" s="213"/>
      <c r="G80" s="214" t="str">
        <f t="shared" si="1"/>
        <v/>
      </c>
    </row>
    <row r="81" spans="2:7" s="195" customFormat="1" ht="17.25" customHeight="1" x14ac:dyDescent="0.15">
      <c r="B81" s="210">
        <v>72</v>
      </c>
      <c r="C81" s="215"/>
      <c r="D81" s="212"/>
      <c r="E81" s="213"/>
      <c r="G81" s="214" t="str">
        <f t="shared" si="1"/>
        <v/>
      </c>
    </row>
    <row r="82" spans="2:7" s="195" customFormat="1" ht="17.25" customHeight="1" x14ac:dyDescent="0.15">
      <c r="B82" s="210">
        <v>73</v>
      </c>
      <c r="C82" s="215"/>
      <c r="D82" s="212"/>
      <c r="E82" s="213"/>
      <c r="G82" s="214" t="str">
        <f t="shared" si="1"/>
        <v/>
      </c>
    </row>
    <row r="83" spans="2:7" s="195" customFormat="1" ht="17.25" customHeight="1" x14ac:dyDescent="0.15">
      <c r="B83" s="210">
        <v>74</v>
      </c>
      <c r="C83" s="215"/>
      <c r="D83" s="212"/>
      <c r="E83" s="213"/>
      <c r="G83" s="214" t="str">
        <f t="shared" si="1"/>
        <v/>
      </c>
    </row>
    <row r="84" spans="2:7" s="195" customFormat="1" ht="17.25" customHeight="1" x14ac:dyDescent="0.15">
      <c r="B84" s="210">
        <v>75</v>
      </c>
      <c r="C84" s="215"/>
      <c r="D84" s="212"/>
      <c r="E84" s="213"/>
      <c r="G84" s="214" t="str">
        <f t="shared" si="1"/>
        <v/>
      </c>
    </row>
    <row r="85" spans="2:7" s="195" customFormat="1" ht="17.25" customHeight="1" x14ac:dyDescent="0.15">
      <c r="B85" s="210">
        <v>76</v>
      </c>
      <c r="C85" s="215"/>
      <c r="D85" s="212"/>
      <c r="E85" s="213"/>
      <c r="G85" s="214" t="str">
        <f t="shared" si="1"/>
        <v/>
      </c>
    </row>
    <row r="86" spans="2:7" s="195" customFormat="1" ht="17.25" customHeight="1" x14ac:dyDescent="0.15">
      <c r="B86" s="210">
        <v>77</v>
      </c>
      <c r="C86" s="215"/>
      <c r="D86" s="212"/>
      <c r="E86" s="213"/>
      <c r="G86" s="214" t="str">
        <f t="shared" si="1"/>
        <v/>
      </c>
    </row>
    <row r="87" spans="2:7" s="195" customFormat="1" ht="17.25" customHeight="1" x14ac:dyDescent="0.15">
      <c r="B87" s="210">
        <v>78</v>
      </c>
      <c r="C87" s="215"/>
      <c r="D87" s="212"/>
      <c r="E87" s="213"/>
      <c r="G87" s="214" t="str">
        <f t="shared" si="1"/>
        <v/>
      </c>
    </row>
    <row r="88" spans="2:7" s="195" customFormat="1" ht="17.25" customHeight="1" x14ac:dyDescent="0.15">
      <c r="B88" s="210">
        <v>79</v>
      </c>
      <c r="C88" s="215"/>
      <c r="D88" s="212"/>
      <c r="E88" s="213"/>
      <c r="G88" s="214" t="str">
        <f t="shared" si="1"/>
        <v/>
      </c>
    </row>
    <row r="89" spans="2:7" s="195" customFormat="1" ht="17.25" customHeight="1" x14ac:dyDescent="0.15">
      <c r="B89" s="210">
        <v>80</v>
      </c>
      <c r="C89" s="215"/>
      <c r="D89" s="212"/>
      <c r="E89" s="213"/>
      <c r="G89" s="214" t="str">
        <f t="shared" si="1"/>
        <v/>
      </c>
    </row>
    <row r="90" spans="2:7" s="195" customFormat="1" ht="17.25" customHeight="1" x14ac:dyDescent="0.15">
      <c r="B90" s="210">
        <v>81</v>
      </c>
      <c r="C90" s="215"/>
      <c r="D90" s="212"/>
      <c r="E90" s="213"/>
      <c r="G90" s="214" t="str">
        <f t="shared" si="1"/>
        <v/>
      </c>
    </row>
    <row r="91" spans="2:7" s="195" customFormat="1" ht="17.25" customHeight="1" x14ac:dyDescent="0.15">
      <c r="B91" s="210">
        <v>82</v>
      </c>
      <c r="C91" s="215"/>
      <c r="D91" s="212"/>
      <c r="E91" s="213"/>
      <c r="G91" s="214" t="str">
        <f t="shared" si="1"/>
        <v/>
      </c>
    </row>
    <row r="92" spans="2:7" s="195" customFormat="1" ht="17.25" customHeight="1" x14ac:dyDescent="0.15">
      <c r="B92" s="210">
        <v>83</v>
      </c>
      <c r="C92" s="215"/>
      <c r="D92" s="212"/>
      <c r="E92" s="213"/>
      <c r="G92" s="214" t="str">
        <f t="shared" si="1"/>
        <v/>
      </c>
    </row>
    <row r="93" spans="2:7" s="195" customFormat="1" ht="17.25" customHeight="1" x14ac:dyDescent="0.15">
      <c r="B93" s="210">
        <v>84</v>
      </c>
      <c r="C93" s="215"/>
      <c r="D93" s="212"/>
      <c r="E93" s="213"/>
      <c r="G93" s="214" t="str">
        <f t="shared" si="1"/>
        <v/>
      </c>
    </row>
    <row r="94" spans="2:7" s="195" customFormat="1" ht="17.25" customHeight="1" x14ac:dyDescent="0.15">
      <c r="B94" s="210">
        <v>85</v>
      </c>
      <c r="C94" s="215"/>
      <c r="D94" s="212"/>
      <c r="E94" s="213"/>
      <c r="G94" s="214" t="str">
        <f t="shared" si="1"/>
        <v/>
      </c>
    </row>
    <row r="95" spans="2:7" s="195" customFormat="1" ht="17.25" customHeight="1" x14ac:dyDescent="0.15">
      <c r="B95" s="210">
        <v>86</v>
      </c>
      <c r="C95" s="215"/>
      <c r="D95" s="212"/>
      <c r="E95" s="213"/>
      <c r="G95" s="214" t="str">
        <f t="shared" si="1"/>
        <v/>
      </c>
    </row>
    <row r="96" spans="2:7" s="195" customFormat="1" ht="17.25" customHeight="1" x14ac:dyDescent="0.15">
      <c r="B96" s="210">
        <v>87</v>
      </c>
      <c r="C96" s="215"/>
      <c r="D96" s="212"/>
      <c r="E96" s="213"/>
      <c r="G96" s="214" t="str">
        <f t="shared" si="1"/>
        <v/>
      </c>
    </row>
    <row r="97" spans="2:7" s="195" customFormat="1" ht="17.25" customHeight="1" x14ac:dyDescent="0.15">
      <c r="B97" s="210">
        <v>88</v>
      </c>
      <c r="C97" s="215"/>
      <c r="D97" s="212"/>
      <c r="E97" s="213"/>
      <c r="G97" s="214" t="str">
        <f t="shared" si="1"/>
        <v/>
      </c>
    </row>
    <row r="98" spans="2:7" s="195" customFormat="1" ht="17.25" customHeight="1" x14ac:dyDescent="0.15">
      <c r="B98" s="210">
        <v>89</v>
      </c>
      <c r="C98" s="215"/>
      <c r="D98" s="212"/>
      <c r="E98" s="213"/>
      <c r="G98" s="214" t="str">
        <f t="shared" si="1"/>
        <v/>
      </c>
    </row>
    <row r="99" spans="2:7" s="195" customFormat="1" ht="17.25" customHeight="1" x14ac:dyDescent="0.15">
      <c r="B99" s="210">
        <v>90</v>
      </c>
      <c r="C99" s="215"/>
      <c r="D99" s="212"/>
      <c r="E99" s="213"/>
      <c r="G99" s="214" t="str">
        <f t="shared" si="1"/>
        <v/>
      </c>
    </row>
    <row r="100" spans="2:7" s="195" customFormat="1" ht="17.25" customHeight="1" x14ac:dyDescent="0.15">
      <c r="B100" s="210">
        <v>91</v>
      </c>
      <c r="C100" s="215"/>
      <c r="D100" s="212"/>
      <c r="E100" s="213"/>
      <c r="G100" s="214" t="str">
        <f t="shared" si="1"/>
        <v/>
      </c>
    </row>
    <row r="101" spans="2:7" s="195" customFormat="1" ht="17.25" customHeight="1" x14ac:dyDescent="0.15">
      <c r="B101" s="210">
        <v>92</v>
      </c>
      <c r="C101" s="215"/>
      <c r="D101" s="212"/>
      <c r="E101" s="213"/>
      <c r="G101" s="214" t="str">
        <f t="shared" si="1"/>
        <v/>
      </c>
    </row>
    <row r="102" spans="2:7" s="195" customFormat="1" ht="17.25" customHeight="1" x14ac:dyDescent="0.15">
      <c r="B102" s="210">
        <v>93</v>
      </c>
      <c r="C102" s="215"/>
      <c r="D102" s="212"/>
      <c r="E102" s="213"/>
      <c r="G102" s="214" t="str">
        <f t="shared" si="1"/>
        <v/>
      </c>
    </row>
    <row r="103" spans="2:7" s="195" customFormat="1" ht="17.25" customHeight="1" x14ac:dyDescent="0.15">
      <c r="B103" s="210">
        <v>94</v>
      </c>
      <c r="C103" s="215"/>
      <c r="D103" s="212"/>
      <c r="E103" s="213"/>
      <c r="G103" s="214" t="str">
        <f t="shared" si="1"/>
        <v/>
      </c>
    </row>
    <row r="104" spans="2:7" s="195" customFormat="1" ht="17.25" customHeight="1" x14ac:dyDescent="0.15">
      <c r="B104" s="210">
        <v>95</v>
      </c>
      <c r="C104" s="215"/>
      <c r="D104" s="212"/>
      <c r="E104" s="213"/>
      <c r="G104" s="214" t="str">
        <f t="shared" si="1"/>
        <v/>
      </c>
    </row>
    <row r="105" spans="2:7" s="195" customFormat="1" ht="17.25" customHeight="1" x14ac:dyDescent="0.15">
      <c r="B105" s="210">
        <v>96</v>
      </c>
      <c r="C105" s="215"/>
      <c r="D105" s="212"/>
      <c r="E105" s="213"/>
      <c r="G105" s="214" t="str">
        <f t="shared" si="1"/>
        <v/>
      </c>
    </row>
    <row r="106" spans="2:7" s="195" customFormat="1" ht="17.25" customHeight="1" x14ac:dyDescent="0.15">
      <c r="B106" s="210">
        <v>97</v>
      </c>
      <c r="C106" s="215"/>
      <c r="D106" s="212"/>
      <c r="E106" s="213"/>
      <c r="G106" s="214" t="str">
        <f t="shared" si="1"/>
        <v/>
      </c>
    </row>
    <row r="107" spans="2:7" s="195" customFormat="1" ht="17.25" customHeight="1" x14ac:dyDescent="0.15">
      <c r="B107" s="210">
        <v>98</v>
      </c>
      <c r="C107" s="215"/>
      <c r="D107" s="212"/>
      <c r="E107" s="213"/>
      <c r="G107" s="214" t="str">
        <f t="shared" si="1"/>
        <v/>
      </c>
    </row>
    <row r="108" spans="2:7" s="195" customFormat="1" ht="17.25" customHeight="1" x14ac:dyDescent="0.15">
      <c r="B108" s="210">
        <v>99</v>
      </c>
      <c r="C108" s="215"/>
      <c r="D108" s="212"/>
      <c r="E108" s="213"/>
      <c r="G108" s="214" t="str">
        <f t="shared" si="1"/>
        <v/>
      </c>
    </row>
    <row r="109" spans="2:7" s="195" customFormat="1" ht="17.25" customHeight="1" x14ac:dyDescent="0.15">
      <c r="B109" s="210">
        <v>100</v>
      </c>
      <c r="C109" s="215"/>
      <c r="D109" s="212"/>
      <c r="E109" s="213"/>
      <c r="G109" s="214" t="str">
        <f t="shared" si="1"/>
        <v/>
      </c>
    </row>
    <row r="110" spans="2:7" s="195" customFormat="1" ht="17.25" customHeight="1" x14ac:dyDescent="0.15">
      <c r="B110" s="210">
        <v>101</v>
      </c>
      <c r="C110" s="215"/>
      <c r="D110" s="212"/>
      <c r="E110" s="213"/>
      <c r="G110" s="214" t="str">
        <f t="shared" si="1"/>
        <v/>
      </c>
    </row>
    <row r="111" spans="2:7" s="195" customFormat="1" ht="17.25" customHeight="1" x14ac:dyDescent="0.15">
      <c r="B111" s="210">
        <v>102</v>
      </c>
      <c r="C111" s="215"/>
      <c r="D111" s="212"/>
      <c r="E111" s="213"/>
      <c r="G111" s="214" t="str">
        <f t="shared" si="1"/>
        <v/>
      </c>
    </row>
    <row r="112" spans="2:7" s="195" customFormat="1" ht="17.25" customHeight="1" x14ac:dyDescent="0.15">
      <c r="B112" s="210">
        <v>103</v>
      </c>
      <c r="C112" s="215"/>
      <c r="D112" s="212"/>
      <c r="E112" s="213"/>
      <c r="G112" s="214" t="str">
        <f t="shared" si="1"/>
        <v/>
      </c>
    </row>
    <row r="113" spans="2:7" s="195" customFormat="1" ht="17.25" customHeight="1" x14ac:dyDescent="0.15">
      <c r="B113" s="210">
        <v>104</v>
      </c>
      <c r="C113" s="215"/>
      <c r="D113" s="212"/>
      <c r="E113" s="213"/>
      <c r="G113" s="214" t="str">
        <f t="shared" si="1"/>
        <v/>
      </c>
    </row>
    <row r="114" spans="2:7" s="195" customFormat="1" ht="17.25" customHeight="1" x14ac:dyDescent="0.15">
      <c r="B114" s="210">
        <v>105</v>
      </c>
      <c r="C114" s="215"/>
      <c r="D114" s="212"/>
      <c r="E114" s="213"/>
      <c r="G114" s="214" t="str">
        <f t="shared" si="1"/>
        <v/>
      </c>
    </row>
    <row r="115" spans="2:7" s="195" customFormat="1" ht="17.25" customHeight="1" x14ac:dyDescent="0.15">
      <c r="B115" s="210">
        <v>106</v>
      </c>
      <c r="C115" s="215"/>
      <c r="D115" s="212"/>
      <c r="E115" s="213"/>
      <c r="G115" s="214" t="str">
        <f t="shared" si="1"/>
        <v/>
      </c>
    </row>
    <row r="116" spans="2:7" s="195" customFormat="1" ht="17.25" customHeight="1" x14ac:dyDescent="0.15">
      <c r="B116" s="210">
        <v>107</v>
      </c>
      <c r="C116" s="215"/>
      <c r="D116" s="212"/>
      <c r="E116" s="213"/>
      <c r="G116" s="214" t="str">
        <f t="shared" si="1"/>
        <v/>
      </c>
    </row>
    <row r="117" spans="2:7" s="195" customFormat="1" ht="17.25" customHeight="1" x14ac:dyDescent="0.15">
      <c r="B117" s="210">
        <v>108</v>
      </c>
      <c r="C117" s="215"/>
      <c r="D117" s="212"/>
      <c r="E117" s="213"/>
      <c r="G117" s="214" t="str">
        <f t="shared" si="1"/>
        <v/>
      </c>
    </row>
    <row r="118" spans="2:7" s="195" customFormat="1" ht="17.25" customHeight="1" x14ac:dyDescent="0.15">
      <c r="B118" s="210">
        <v>109</v>
      </c>
      <c r="C118" s="215"/>
      <c r="D118" s="212"/>
      <c r="E118" s="213"/>
      <c r="G118" s="214" t="str">
        <f t="shared" si="1"/>
        <v/>
      </c>
    </row>
    <row r="119" spans="2:7" s="195" customFormat="1" ht="17.25" customHeight="1" x14ac:dyDescent="0.15">
      <c r="B119" s="210">
        <v>110</v>
      </c>
      <c r="C119" s="215"/>
      <c r="D119" s="212"/>
      <c r="E119" s="213"/>
      <c r="G119" s="214" t="str">
        <f t="shared" si="1"/>
        <v/>
      </c>
    </row>
    <row r="120" spans="2:7" s="195" customFormat="1" ht="17.25" customHeight="1" x14ac:dyDescent="0.15">
      <c r="B120" s="210">
        <v>111</v>
      </c>
      <c r="C120" s="215"/>
      <c r="D120" s="212"/>
      <c r="E120" s="213"/>
      <c r="G120" s="214" t="str">
        <f t="shared" si="1"/>
        <v/>
      </c>
    </row>
    <row r="121" spans="2:7" s="195" customFormat="1" ht="17.25" customHeight="1" x14ac:dyDescent="0.15">
      <c r="B121" s="210">
        <v>112</v>
      </c>
      <c r="C121" s="215"/>
      <c r="D121" s="212"/>
      <c r="E121" s="213"/>
      <c r="G121" s="214" t="str">
        <f t="shared" si="1"/>
        <v/>
      </c>
    </row>
    <row r="122" spans="2:7" s="195" customFormat="1" ht="17.25" customHeight="1" x14ac:dyDescent="0.15">
      <c r="B122" s="210">
        <v>113</v>
      </c>
      <c r="C122" s="215"/>
      <c r="D122" s="212"/>
      <c r="E122" s="213"/>
      <c r="G122" s="214" t="str">
        <f t="shared" si="1"/>
        <v/>
      </c>
    </row>
    <row r="123" spans="2:7" s="195" customFormat="1" ht="17.25" customHeight="1" x14ac:dyDescent="0.15">
      <c r="B123" s="210">
        <v>114</v>
      </c>
      <c r="C123" s="215"/>
      <c r="D123" s="212"/>
      <c r="E123" s="213"/>
      <c r="G123" s="214" t="str">
        <f t="shared" si="1"/>
        <v/>
      </c>
    </row>
    <row r="124" spans="2:7" s="195" customFormat="1" ht="17.25" customHeight="1" x14ac:dyDescent="0.15">
      <c r="B124" s="210">
        <v>115</v>
      </c>
      <c r="C124" s="215"/>
      <c r="D124" s="212"/>
      <c r="E124" s="213"/>
      <c r="G124" s="214" t="str">
        <f t="shared" si="1"/>
        <v/>
      </c>
    </row>
    <row r="125" spans="2:7" s="195" customFormat="1" ht="17.25" customHeight="1" x14ac:dyDescent="0.15">
      <c r="B125" s="210">
        <v>116</v>
      </c>
      <c r="C125" s="215"/>
      <c r="D125" s="212"/>
      <c r="E125" s="213"/>
      <c r="G125" s="214" t="str">
        <f t="shared" si="1"/>
        <v/>
      </c>
    </row>
    <row r="126" spans="2:7" s="195" customFormat="1" ht="17.25" customHeight="1" x14ac:dyDescent="0.15">
      <c r="B126" s="210">
        <v>117</v>
      </c>
      <c r="C126" s="215"/>
      <c r="D126" s="212"/>
      <c r="E126" s="213"/>
      <c r="G126" s="214" t="str">
        <f t="shared" si="1"/>
        <v/>
      </c>
    </row>
    <row r="127" spans="2:7" s="195" customFormat="1" ht="17.25" customHeight="1" x14ac:dyDescent="0.15">
      <c r="B127" s="210">
        <v>118</v>
      </c>
      <c r="C127" s="215"/>
      <c r="D127" s="212"/>
      <c r="E127" s="213"/>
      <c r="G127" s="214" t="str">
        <f t="shared" si="1"/>
        <v/>
      </c>
    </row>
    <row r="128" spans="2:7" s="195" customFormat="1" ht="17.25" customHeight="1" x14ac:dyDescent="0.15">
      <c r="B128" s="210">
        <v>119</v>
      </c>
      <c r="C128" s="215"/>
      <c r="D128" s="212"/>
      <c r="E128" s="213"/>
      <c r="G128" s="214" t="str">
        <f t="shared" si="1"/>
        <v/>
      </c>
    </row>
    <row r="129" spans="2:7" s="195" customFormat="1" ht="17.25" customHeight="1" x14ac:dyDescent="0.15">
      <c r="B129" s="210">
        <v>120</v>
      </c>
      <c r="C129" s="215"/>
      <c r="D129" s="212"/>
      <c r="E129" s="213"/>
      <c r="G129" s="214" t="str">
        <f t="shared" si="1"/>
        <v/>
      </c>
    </row>
    <row r="130" spans="2:7" s="195" customFormat="1" ht="17.25" customHeight="1" x14ac:dyDescent="0.15">
      <c r="B130" s="210">
        <v>121</v>
      </c>
      <c r="C130" s="215"/>
      <c r="D130" s="212"/>
      <c r="E130" s="213"/>
      <c r="G130" s="214" t="str">
        <f t="shared" si="1"/>
        <v/>
      </c>
    </row>
    <row r="131" spans="2:7" s="195" customFormat="1" ht="17.25" customHeight="1" x14ac:dyDescent="0.15">
      <c r="B131" s="210">
        <v>122</v>
      </c>
      <c r="C131" s="215"/>
      <c r="D131" s="212"/>
      <c r="E131" s="213"/>
      <c r="G131" s="214" t="str">
        <f t="shared" si="1"/>
        <v/>
      </c>
    </row>
    <row r="132" spans="2:7" s="195" customFormat="1" ht="17.25" customHeight="1" x14ac:dyDescent="0.15">
      <c r="B132" s="210">
        <v>123</v>
      </c>
      <c r="C132" s="215"/>
      <c r="D132" s="212"/>
      <c r="E132" s="213"/>
      <c r="G132" s="214" t="str">
        <f t="shared" si="1"/>
        <v/>
      </c>
    </row>
    <row r="133" spans="2:7" s="195" customFormat="1" ht="17.25" customHeight="1" x14ac:dyDescent="0.15">
      <c r="B133" s="210">
        <v>124</v>
      </c>
      <c r="C133" s="215"/>
      <c r="D133" s="212"/>
      <c r="E133" s="213"/>
      <c r="G133" s="214" t="str">
        <f t="shared" si="1"/>
        <v/>
      </c>
    </row>
    <row r="134" spans="2:7" s="195" customFormat="1" ht="17.25" customHeight="1" x14ac:dyDescent="0.15">
      <c r="B134" s="210">
        <v>125</v>
      </c>
      <c r="C134" s="215"/>
      <c r="D134" s="212"/>
      <c r="E134" s="213"/>
      <c r="G134" s="214" t="str">
        <f t="shared" si="1"/>
        <v/>
      </c>
    </row>
    <row r="135" spans="2:7" s="195" customFormat="1" ht="17.25" customHeight="1" x14ac:dyDescent="0.15">
      <c r="B135" s="210">
        <v>126</v>
      </c>
      <c r="C135" s="215"/>
      <c r="D135" s="212"/>
      <c r="E135" s="213"/>
      <c r="G135" s="214" t="str">
        <f t="shared" si="1"/>
        <v/>
      </c>
    </row>
    <row r="136" spans="2:7" s="195" customFormat="1" ht="17.25" customHeight="1" x14ac:dyDescent="0.15">
      <c r="B136" s="210">
        <v>127</v>
      </c>
      <c r="C136" s="215"/>
      <c r="D136" s="212"/>
      <c r="E136" s="213"/>
      <c r="G136" s="214" t="str">
        <f t="shared" si="1"/>
        <v/>
      </c>
    </row>
    <row r="137" spans="2:7" s="195" customFormat="1" ht="17.25" customHeight="1" x14ac:dyDescent="0.15">
      <c r="B137" s="210">
        <v>128</v>
      </c>
      <c r="C137" s="215"/>
      <c r="D137" s="212"/>
      <c r="E137" s="213"/>
      <c r="G137" s="214" t="str">
        <f t="shared" si="1"/>
        <v/>
      </c>
    </row>
    <row r="138" spans="2:7" s="195" customFormat="1" ht="17.25" customHeight="1" x14ac:dyDescent="0.15">
      <c r="B138" s="210">
        <v>129</v>
      </c>
      <c r="C138" s="215"/>
      <c r="D138" s="212"/>
      <c r="E138" s="213"/>
      <c r="G138" s="214" t="str">
        <f t="shared" ref="G138:G201" si="2">IF(COUNTA(C138:E138)=0,"",IF(COUNTA(C138:E138)=3,"OK","未入力項目があります"))</f>
        <v/>
      </c>
    </row>
    <row r="139" spans="2:7" s="195" customFormat="1" ht="17.25" customHeight="1" x14ac:dyDescent="0.15">
      <c r="B139" s="210">
        <v>130</v>
      </c>
      <c r="C139" s="215"/>
      <c r="D139" s="212"/>
      <c r="E139" s="213"/>
      <c r="G139" s="214" t="str">
        <f t="shared" si="2"/>
        <v/>
      </c>
    </row>
    <row r="140" spans="2:7" s="195" customFormat="1" ht="17.25" customHeight="1" x14ac:dyDescent="0.15">
      <c r="B140" s="210">
        <v>131</v>
      </c>
      <c r="C140" s="215"/>
      <c r="D140" s="212"/>
      <c r="E140" s="213"/>
      <c r="G140" s="214" t="str">
        <f t="shared" si="2"/>
        <v/>
      </c>
    </row>
    <row r="141" spans="2:7" s="195" customFormat="1" ht="17.25" customHeight="1" x14ac:dyDescent="0.15">
      <c r="B141" s="210">
        <v>132</v>
      </c>
      <c r="C141" s="215"/>
      <c r="D141" s="212"/>
      <c r="E141" s="213"/>
      <c r="G141" s="214" t="str">
        <f t="shared" si="2"/>
        <v/>
      </c>
    </row>
    <row r="142" spans="2:7" s="195" customFormat="1" ht="17.25" customHeight="1" x14ac:dyDescent="0.15">
      <c r="B142" s="210">
        <v>133</v>
      </c>
      <c r="C142" s="215"/>
      <c r="D142" s="212"/>
      <c r="E142" s="213"/>
      <c r="G142" s="214" t="str">
        <f t="shared" si="2"/>
        <v/>
      </c>
    </row>
    <row r="143" spans="2:7" s="195" customFormat="1" ht="17.25" customHeight="1" x14ac:dyDescent="0.15">
      <c r="B143" s="210">
        <v>134</v>
      </c>
      <c r="C143" s="215"/>
      <c r="D143" s="212"/>
      <c r="E143" s="213"/>
      <c r="G143" s="214" t="str">
        <f t="shared" si="2"/>
        <v/>
      </c>
    </row>
    <row r="144" spans="2:7" s="195" customFormat="1" ht="17.25" customHeight="1" x14ac:dyDescent="0.15">
      <c r="B144" s="210">
        <v>135</v>
      </c>
      <c r="C144" s="215"/>
      <c r="D144" s="212"/>
      <c r="E144" s="213"/>
      <c r="G144" s="214" t="str">
        <f t="shared" si="2"/>
        <v/>
      </c>
    </row>
    <row r="145" spans="2:7" s="195" customFormat="1" ht="17.25" customHeight="1" x14ac:dyDescent="0.15">
      <c r="B145" s="210">
        <v>136</v>
      </c>
      <c r="C145" s="215"/>
      <c r="D145" s="212"/>
      <c r="E145" s="213"/>
      <c r="G145" s="214" t="str">
        <f t="shared" si="2"/>
        <v/>
      </c>
    </row>
    <row r="146" spans="2:7" s="195" customFormat="1" ht="17.25" customHeight="1" x14ac:dyDescent="0.15">
      <c r="B146" s="210">
        <v>137</v>
      </c>
      <c r="C146" s="215"/>
      <c r="D146" s="212"/>
      <c r="E146" s="213"/>
      <c r="G146" s="214" t="str">
        <f t="shared" si="2"/>
        <v/>
      </c>
    </row>
    <row r="147" spans="2:7" s="195" customFormat="1" ht="17.25" customHeight="1" x14ac:dyDescent="0.15">
      <c r="B147" s="210">
        <v>138</v>
      </c>
      <c r="C147" s="215"/>
      <c r="D147" s="212"/>
      <c r="E147" s="213"/>
      <c r="G147" s="214" t="str">
        <f t="shared" si="2"/>
        <v/>
      </c>
    </row>
    <row r="148" spans="2:7" s="195" customFormat="1" ht="17.25" customHeight="1" x14ac:dyDescent="0.15">
      <c r="B148" s="210">
        <v>139</v>
      </c>
      <c r="C148" s="215"/>
      <c r="D148" s="212"/>
      <c r="E148" s="213"/>
      <c r="G148" s="214" t="str">
        <f t="shared" si="2"/>
        <v/>
      </c>
    </row>
    <row r="149" spans="2:7" s="195" customFormat="1" ht="17.25" customHeight="1" x14ac:dyDescent="0.15">
      <c r="B149" s="210">
        <v>140</v>
      </c>
      <c r="C149" s="215"/>
      <c r="D149" s="212"/>
      <c r="E149" s="213"/>
      <c r="G149" s="214" t="str">
        <f t="shared" si="2"/>
        <v/>
      </c>
    </row>
    <row r="150" spans="2:7" s="195" customFormat="1" ht="17.25" customHeight="1" x14ac:dyDescent="0.15">
      <c r="B150" s="210">
        <v>141</v>
      </c>
      <c r="C150" s="215"/>
      <c r="D150" s="212"/>
      <c r="E150" s="213"/>
      <c r="G150" s="214" t="str">
        <f t="shared" si="2"/>
        <v/>
      </c>
    </row>
    <row r="151" spans="2:7" s="195" customFormat="1" ht="17.25" customHeight="1" x14ac:dyDescent="0.15">
      <c r="B151" s="210">
        <v>142</v>
      </c>
      <c r="C151" s="215"/>
      <c r="D151" s="212"/>
      <c r="E151" s="213"/>
      <c r="G151" s="214" t="str">
        <f t="shared" si="2"/>
        <v/>
      </c>
    </row>
    <row r="152" spans="2:7" s="195" customFormat="1" ht="17.25" customHeight="1" x14ac:dyDescent="0.15">
      <c r="B152" s="210">
        <v>143</v>
      </c>
      <c r="C152" s="215"/>
      <c r="D152" s="212"/>
      <c r="E152" s="213"/>
      <c r="G152" s="214" t="str">
        <f t="shared" si="2"/>
        <v/>
      </c>
    </row>
    <row r="153" spans="2:7" s="195" customFormat="1" ht="17.25" customHeight="1" x14ac:dyDescent="0.15">
      <c r="B153" s="210">
        <v>144</v>
      </c>
      <c r="C153" s="215"/>
      <c r="D153" s="212"/>
      <c r="E153" s="213"/>
      <c r="G153" s="214" t="str">
        <f t="shared" si="2"/>
        <v/>
      </c>
    </row>
    <row r="154" spans="2:7" s="195" customFormat="1" ht="17.25" customHeight="1" x14ac:dyDescent="0.15">
      <c r="B154" s="210">
        <v>145</v>
      </c>
      <c r="C154" s="215"/>
      <c r="D154" s="212"/>
      <c r="E154" s="213"/>
      <c r="G154" s="214" t="str">
        <f t="shared" si="2"/>
        <v/>
      </c>
    </row>
    <row r="155" spans="2:7" s="195" customFormat="1" ht="17.25" customHeight="1" x14ac:dyDescent="0.15">
      <c r="B155" s="210">
        <v>146</v>
      </c>
      <c r="C155" s="215"/>
      <c r="D155" s="212"/>
      <c r="E155" s="213"/>
      <c r="G155" s="214" t="str">
        <f t="shared" si="2"/>
        <v/>
      </c>
    </row>
    <row r="156" spans="2:7" s="195" customFormat="1" ht="17.25" customHeight="1" x14ac:dyDescent="0.15">
      <c r="B156" s="210">
        <v>147</v>
      </c>
      <c r="C156" s="215"/>
      <c r="D156" s="212"/>
      <c r="E156" s="213"/>
      <c r="G156" s="214" t="str">
        <f t="shared" si="2"/>
        <v/>
      </c>
    </row>
    <row r="157" spans="2:7" s="195" customFormat="1" ht="17.25" customHeight="1" x14ac:dyDescent="0.15">
      <c r="B157" s="210">
        <v>148</v>
      </c>
      <c r="C157" s="215"/>
      <c r="D157" s="212"/>
      <c r="E157" s="213"/>
      <c r="G157" s="214" t="str">
        <f t="shared" si="2"/>
        <v/>
      </c>
    </row>
    <row r="158" spans="2:7" s="195" customFormat="1" ht="17.25" customHeight="1" x14ac:dyDescent="0.15">
      <c r="B158" s="210">
        <v>149</v>
      </c>
      <c r="C158" s="215"/>
      <c r="D158" s="212"/>
      <c r="E158" s="213"/>
      <c r="G158" s="214" t="str">
        <f t="shared" si="2"/>
        <v/>
      </c>
    </row>
    <row r="159" spans="2:7" s="195" customFormat="1" ht="17.25" customHeight="1" x14ac:dyDescent="0.15">
      <c r="B159" s="210">
        <v>150</v>
      </c>
      <c r="C159" s="215"/>
      <c r="D159" s="212"/>
      <c r="E159" s="213"/>
      <c r="G159" s="214" t="str">
        <f t="shared" si="2"/>
        <v/>
      </c>
    </row>
    <row r="160" spans="2:7" s="195" customFormat="1" ht="17.25" customHeight="1" x14ac:dyDescent="0.15">
      <c r="B160" s="210">
        <v>151</v>
      </c>
      <c r="C160" s="215"/>
      <c r="D160" s="212"/>
      <c r="E160" s="213"/>
      <c r="G160" s="214" t="str">
        <f t="shared" si="2"/>
        <v/>
      </c>
    </row>
    <row r="161" spans="2:7" s="195" customFormat="1" ht="17.25" customHeight="1" x14ac:dyDescent="0.15">
      <c r="B161" s="210">
        <v>152</v>
      </c>
      <c r="C161" s="215"/>
      <c r="D161" s="212"/>
      <c r="E161" s="213"/>
      <c r="G161" s="214" t="str">
        <f t="shared" si="2"/>
        <v/>
      </c>
    </row>
    <row r="162" spans="2:7" s="195" customFormat="1" ht="17.25" customHeight="1" x14ac:dyDescent="0.15">
      <c r="B162" s="210">
        <v>153</v>
      </c>
      <c r="C162" s="215"/>
      <c r="D162" s="212"/>
      <c r="E162" s="213"/>
      <c r="G162" s="214" t="str">
        <f t="shared" si="2"/>
        <v/>
      </c>
    </row>
    <row r="163" spans="2:7" s="195" customFormat="1" ht="17.25" customHeight="1" x14ac:dyDescent="0.15">
      <c r="B163" s="210">
        <v>154</v>
      </c>
      <c r="C163" s="215"/>
      <c r="D163" s="212"/>
      <c r="E163" s="213"/>
      <c r="G163" s="214" t="str">
        <f t="shared" si="2"/>
        <v/>
      </c>
    </row>
    <row r="164" spans="2:7" s="195" customFormat="1" ht="17.25" customHeight="1" x14ac:dyDescent="0.15">
      <c r="B164" s="210">
        <v>155</v>
      </c>
      <c r="C164" s="215"/>
      <c r="D164" s="212"/>
      <c r="E164" s="213"/>
      <c r="G164" s="214" t="str">
        <f t="shared" si="2"/>
        <v/>
      </c>
    </row>
    <row r="165" spans="2:7" s="195" customFormat="1" ht="17.25" customHeight="1" x14ac:dyDescent="0.15">
      <c r="B165" s="210">
        <v>156</v>
      </c>
      <c r="C165" s="215"/>
      <c r="D165" s="212"/>
      <c r="E165" s="213"/>
      <c r="G165" s="214" t="str">
        <f t="shared" si="2"/>
        <v/>
      </c>
    </row>
    <row r="166" spans="2:7" s="195" customFormat="1" ht="17.25" customHeight="1" x14ac:dyDescent="0.15">
      <c r="B166" s="210">
        <v>157</v>
      </c>
      <c r="C166" s="215"/>
      <c r="D166" s="212"/>
      <c r="E166" s="213"/>
      <c r="G166" s="214" t="str">
        <f t="shared" si="2"/>
        <v/>
      </c>
    </row>
    <row r="167" spans="2:7" s="195" customFormat="1" ht="17.25" customHeight="1" x14ac:dyDescent="0.15">
      <c r="B167" s="210">
        <v>158</v>
      </c>
      <c r="C167" s="215"/>
      <c r="D167" s="212"/>
      <c r="E167" s="213"/>
      <c r="G167" s="214" t="str">
        <f t="shared" si="2"/>
        <v/>
      </c>
    </row>
    <row r="168" spans="2:7" s="195" customFormat="1" ht="17.25" customHeight="1" x14ac:dyDescent="0.15">
      <c r="B168" s="210">
        <v>159</v>
      </c>
      <c r="C168" s="215"/>
      <c r="D168" s="212"/>
      <c r="E168" s="213"/>
      <c r="G168" s="214" t="str">
        <f t="shared" si="2"/>
        <v/>
      </c>
    </row>
    <row r="169" spans="2:7" s="195" customFormat="1" ht="17.25" customHeight="1" x14ac:dyDescent="0.15">
      <c r="B169" s="210">
        <v>160</v>
      </c>
      <c r="C169" s="215"/>
      <c r="D169" s="212"/>
      <c r="E169" s="213"/>
      <c r="G169" s="214" t="str">
        <f t="shared" si="2"/>
        <v/>
      </c>
    </row>
    <row r="170" spans="2:7" s="195" customFormat="1" ht="17.25" customHeight="1" x14ac:dyDescent="0.15">
      <c r="B170" s="210">
        <v>161</v>
      </c>
      <c r="C170" s="215"/>
      <c r="D170" s="212"/>
      <c r="E170" s="213"/>
      <c r="G170" s="214" t="str">
        <f t="shared" si="2"/>
        <v/>
      </c>
    </row>
    <row r="171" spans="2:7" s="195" customFormat="1" ht="17.25" customHeight="1" x14ac:dyDescent="0.15">
      <c r="B171" s="210">
        <v>162</v>
      </c>
      <c r="C171" s="215"/>
      <c r="D171" s="212"/>
      <c r="E171" s="213"/>
      <c r="G171" s="214" t="str">
        <f t="shared" si="2"/>
        <v/>
      </c>
    </row>
    <row r="172" spans="2:7" s="195" customFormat="1" ht="17.25" customHeight="1" x14ac:dyDescent="0.15">
      <c r="B172" s="210">
        <v>163</v>
      </c>
      <c r="C172" s="215"/>
      <c r="D172" s="212"/>
      <c r="E172" s="213"/>
      <c r="G172" s="214" t="str">
        <f t="shared" si="2"/>
        <v/>
      </c>
    </row>
    <row r="173" spans="2:7" s="195" customFormat="1" ht="17.25" customHeight="1" x14ac:dyDescent="0.15">
      <c r="B173" s="210">
        <v>164</v>
      </c>
      <c r="C173" s="215"/>
      <c r="D173" s="212"/>
      <c r="E173" s="213"/>
      <c r="G173" s="214" t="str">
        <f t="shared" si="2"/>
        <v/>
      </c>
    </row>
    <row r="174" spans="2:7" s="195" customFormat="1" ht="17.25" customHeight="1" x14ac:dyDescent="0.15">
      <c r="B174" s="210">
        <v>165</v>
      </c>
      <c r="C174" s="215"/>
      <c r="D174" s="212"/>
      <c r="E174" s="213"/>
      <c r="G174" s="214" t="str">
        <f t="shared" si="2"/>
        <v/>
      </c>
    </row>
    <row r="175" spans="2:7" s="195" customFormat="1" ht="17.25" customHeight="1" x14ac:dyDescent="0.15">
      <c r="B175" s="210">
        <v>166</v>
      </c>
      <c r="C175" s="215"/>
      <c r="D175" s="212"/>
      <c r="E175" s="213"/>
      <c r="G175" s="214" t="str">
        <f t="shared" si="2"/>
        <v/>
      </c>
    </row>
    <row r="176" spans="2:7" s="195" customFormat="1" ht="17.25" customHeight="1" x14ac:dyDescent="0.15">
      <c r="B176" s="210">
        <v>167</v>
      </c>
      <c r="C176" s="215"/>
      <c r="D176" s="212"/>
      <c r="E176" s="213"/>
      <c r="G176" s="214" t="str">
        <f t="shared" si="2"/>
        <v/>
      </c>
    </row>
    <row r="177" spans="2:7" s="195" customFormat="1" ht="17.25" customHeight="1" x14ac:dyDescent="0.15">
      <c r="B177" s="210">
        <v>168</v>
      </c>
      <c r="C177" s="215"/>
      <c r="D177" s="212"/>
      <c r="E177" s="213"/>
      <c r="G177" s="214" t="str">
        <f t="shared" si="2"/>
        <v/>
      </c>
    </row>
    <row r="178" spans="2:7" s="195" customFormat="1" ht="17.25" customHeight="1" x14ac:dyDescent="0.15">
      <c r="B178" s="210">
        <v>169</v>
      </c>
      <c r="C178" s="215"/>
      <c r="D178" s="212"/>
      <c r="E178" s="213"/>
      <c r="G178" s="214" t="str">
        <f t="shared" si="2"/>
        <v/>
      </c>
    </row>
    <row r="179" spans="2:7" s="195" customFormat="1" ht="17.25" customHeight="1" x14ac:dyDescent="0.15">
      <c r="B179" s="210">
        <v>170</v>
      </c>
      <c r="C179" s="215"/>
      <c r="D179" s="212"/>
      <c r="E179" s="213"/>
      <c r="G179" s="214" t="str">
        <f t="shared" si="2"/>
        <v/>
      </c>
    </row>
    <row r="180" spans="2:7" s="195" customFormat="1" ht="17.25" customHeight="1" x14ac:dyDescent="0.15">
      <c r="B180" s="210">
        <v>171</v>
      </c>
      <c r="C180" s="215"/>
      <c r="D180" s="212"/>
      <c r="E180" s="213"/>
      <c r="G180" s="214" t="str">
        <f t="shared" si="2"/>
        <v/>
      </c>
    </row>
    <row r="181" spans="2:7" s="195" customFormat="1" ht="17.25" customHeight="1" x14ac:dyDescent="0.15">
      <c r="B181" s="210">
        <v>172</v>
      </c>
      <c r="C181" s="215"/>
      <c r="D181" s="212"/>
      <c r="E181" s="213"/>
      <c r="G181" s="214" t="str">
        <f t="shared" si="2"/>
        <v/>
      </c>
    </row>
    <row r="182" spans="2:7" s="195" customFormat="1" ht="17.25" customHeight="1" x14ac:dyDescent="0.15">
      <c r="B182" s="210">
        <v>173</v>
      </c>
      <c r="C182" s="215"/>
      <c r="D182" s="212"/>
      <c r="E182" s="213"/>
      <c r="G182" s="214" t="str">
        <f t="shared" si="2"/>
        <v/>
      </c>
    </row>
    <row r="183" spans="2:7" s="195" customFormat="1" ht="17.25" customHeight="1" x14ac:dyDescent="0.15">
      <c r="B183" s="210">
        <v>174</v>
      </c>
      <c r="C183" s="215"/>
      <c r="D183" s="212"/>
      <c r="E183" s="213"/>
      <c r="G183" s="214" t="str">
        <f t="shared" si="2"/>
        <v/>
      </c>
    </row>
    <row r="184" spans="2:7" s="195" customFormat="1" ht="17.25" customHeight="1" x14ac:dyDescent="0.15">
      <c r="B184" s="210">
        <v>175</v>
      </c>
      <c r="C184" s="215"/>
      <c r="D184" s="212"/>
      <c r="E184" s="213"/>
      <c r="G184" s="214" t="str">
        <f t="shared" si="2"/>
        <v/>
      </c>
    </row>
    <row r="185" spans="2:7" s="195" customFormat="1" ht="17.25" customHeight="1" x14ac:dyDescent="0.15">
      <c r="B185" s="210">
        <v>176</v>
      </c>
      <c r="C185" s="215"/>
      <c r="D185" s="212"/>
      <c r="E185" s="213"/>
      <c r="G185" s="214" t="str">
        <f t="shared" si="2"/>
        <v/>
      </c>
    </row>
    <row r="186" spans="2:7" s="195" customFormat="1" ht="17.25" customHeight="1" x14ac:dyDescent="0.15">
      <c r="B186" s="210">
        <v>177</v>
      </c>
      <c r="C186" s="215"/>
      <c r="D186" s="212"/>
      <c r="E186" s="213"/>
      <c r="G186" s="214" t="str">
        <f t="shared" si="2"/>
        <v/>
      </c>
    </row>
    <row r="187" spans="2:7" s="195" customFormat="1" ht="17.25" customHeight="1" x14ac:dyDescent="0.15">
      <c r="B187" s="210">
        <v>178</v>
      </c>
      <c r="C187" s="215"/>
      <c r="D187" s="212"/>
      <c r="E187" s="213"/>
      <c r="G187" s="214" t="str">
        <f t="shared" si="2"/>
        <v/>
      </c>
    </row>
    <row r="188" spans="2:7" s="195" customFormat="1" ht="17.25" customHeight="1" x14ac:dyDescent="0.15">
      <c r="B188" s="210">
        <v>179</v>
      </c>
      <c r="C188" s="215"/>
      <c r="D188" s="212"/>
      <c r="E188" s="213"/>
      <c r="G188" s="214" t="str">
        <f t="shared" si="2"/>
        <v/>
      </c>
    </row>
    <row r="189" spans="2:7" s="195" customFormat="1" ht="17.25" customHeight="1" x14ac:dyDescent="0.15">
      <c r="B189" s="210">
        <v>180</v>
      </c>
      <c r="C189" s="215"/>
      <c r="D189" s="212"/>
      <c r="E189" s="213"/>
      <c r="G189" s="214" t="str">
        <f t="shared" si="2"/>
        <v/>
      </c>
    </row>
    <row r="190" spans="2:7" s="195" customFormat="1" ht="17.25" customHeight="1" x14ac:dyDescent="0.15">
      <c r="B190" s="210">
        <v>181</v>
      </c>
      <c r="C190" s="215"/>
      <c r="D190" s="212"/>
      <c r="E190" s="213"/>
      <c r="G190" s="214" t="str">
        <f t="shared" si="2"/>
        <v/>
      </c>
    </row>
    <row r="191" spans="2:7" s="195" customFormat="1" ht="17.25" customHeight="1" x14ac:dyDescent="0.15">
      <c r="B191" s="210">
        <v>182</v>
      </c>
      <c r="C191" s="215"/>
      <c r="D191" s="212"/>
      <c r="E191" s="213"/>
      <c r="G191" s="214" t="str">
        <f t="shared" si="2"/>
        <v/>
      </c>
    </row>
    <row r="192" spans="2:7" s="195" customFormat="1" ht="17.25" customHeight="1" x14ac:dyDescent="0.15">
      <c r="B192" s="210">
        <v>183</v>
      </c>
      <c r="C192" s="215"/>
      <c r="D192" s="212"/>
      <c r="E192" s="213"/>
      <c r="G192" s="214" t="str">
        <f t="shared" si="2"/>
        <v/>
      </c>
    </row>
    <row r="193" spans="2:7" s="195" customFormat="1" ht="17.25" customHeight="1" x14ac:dyDescent="0.15">
      <c r="B193" s="210">
        <v>184</v>
      </c>
      <c r="C193" s="215"/>
      <c r="D193" s="212"/>
      <c r="E193" s="213"/>
      <c r="G193" s="214" t="str">
        <f t="shared" si="2"/>
        <v/>
      </c>
    </row>
    <row r="194" spans="2:7" s="195" customFormat="1" ht="17.25" customHeight="1" x14ac:dyDescent="0.15">
      <c r="B194" s="210">
        <v>185</v>
      </c>
      <c r="C194" s="215"/>
      <c r="D194" s="212"/>
      <c r="E194" s="213"/>
      <c r="G194" s="214" t="str">
        <f t="shared" si="2"/>
        <v/>
      </c>
    </row>
    <row r="195" spans="2:7" s="195" customFormat="1" ht="17.25" customHeight="1" x14ac:dyDescent="0.15">
      <c r="B195" s="210">
        <v>186</v>
      </c>
      <c r="C195" s="215"/>
      <c r="D195" s="212"/>
      <c r="E195" s="213"/>
      <c r="G195" s="214" t="str">
        <f t="shared" si="2"/>
        <v/>
      </c>
    </row>
    <row r="196" spans="2:7" s="195" customFormat="1" ht="17.25" customHeight="1" x14ac:dyDescent="0.15">
      <c r="B196" s="210">
        <v>187</v>
      </c>
      <c r="C196" s="215"/>
      <c r="D196" s="212"/>
      <c r="E196" s="213"/>
      <c r="G196" s="214" t="str">
        <f t="shared" si="2"/>
        <v/>
      </c>
    </row>
    <row r="197" spans="2:7" s="195" customFormat="1" ht="17.25" customHeight="1" x14ac:dyDescent="0.15">
      <c r="B197" s="210">
        <v>188</v>
      </c>
      <c r="C197" s="215"/>
      <c r="D197" s="212"/>
      <c r="E197" s="213"/>
      <c r="G197" s="214" t="str">
        <f t="shared" si="2"/>
        <v/>
      </c>
    </row>
    <row r="198" spans="2:7" s="195" customFormat="1" ht="17.25" customHeight="1" x14ac:dyDescent="0.15">
      <c r="B198" s="210">
        <v>189</v>
      </c>
      <c r="C198" s="215"/>
      <c r="D198" s="212"/>
      <c r="E198" s="213"/>
      <c r="G198" s="214" t="str">
        <f t="shared" si="2"/>
        <v/>
      </c>
    </row>
    <row r="199" spans="2:7" s="195" customFormat="1" ht="17.25" customHeight="1" x14ac:dyDescent="0.15">
      <c r="B199" s="210">
        <v>190</v>
      </c>
      <c r="C199" s="215"/>
      <c r="D199" s="212"/>
      <c r="E199" s="213"/>
      <c r="G199" s="214" t="str">
        <f t="shared" si="2"/>
        <v/>
      </c>
    </row>
    <row r="200" spans="2:7" s="195" customFormat="1" ht="17.25" customHeight="1" x14ac:dyDescent="0.15">
      <c r="B200" s="210">
        <v>191</v>
      </c>
      <c r="C200" s="215"/>
      <c r="D200" s="212"/>
      <c r="E200" s="213"/>
      <c r="G200" s="214" t="str">
        <f t="shared" si="2"/>
        <v/>
      </c>
    </row>
    <row r="201" spans="2:7" s="195" customFormat="1" ht="17.25" customHeight="1" x14ac:dyDescent="0.15">
      <c r="B201" s="210">
        <v>192</v>
      </c>
      <c r="C201" s="215"/>
      <c r="D201" s="212"/>
      <c r="E201" s="213"/>
      <c r="G201" s="214" t="str">
        <f t="shared" si="2"/>
        <v/>
      </c>
    </row>
    <row r="202" spans="2:7" s="195" customFormat="1" ht="17.25" customHeight="1" x14ac:dyDescent="0.15">
      <c r="B202" s="210">
        <v>193</v>
      </c>
      <c r="C202" s="215"/>
      <c r="D202" s="212"/>
      <c r="E202" s="213"/>
      <c r="G202" s="214" t="str">
        <f t="shared" ref="G202:G209" si="3">IF(COUNTA(C202:E202)=0,"",IF(COUNTA(C202:E202)=3,"OK","未入力項目があります"))</f>
        <v/>
      </c>
    </row>
    <row r="203" spans="2:7" s="195" customFormat="1" ht="17.25" customHeight="1" x14ac:dyDescent="0.15">
      <c r="B203" s="210">
        <v>194</v>
      </c>
      <c r="C203" s="215"/>
      <c r="D203" s="212"/>
      <c r="E203" s="213"/>
      <c r="G203" s="214" t="str">
        <f t="shared" si="3"/>
        <v/>
      </c>
    </row>
    <row r="204" spans="2:7" s="195" customFormat="1" ht="17.25" customHeight="1" x14ac:dyDescent="0.15">
      <c r="B204" s="210">
        <v>195</v>
      </c>
      <c r="C204" s="215"/>
      <c r="D204" s="212"/>
      <c r="E204" s="213"/>
      <c r="G204" s="214" t="str">
        <f t="shared" si="3"/>
        <v/>
      </c>
    </row>
    <row r="205" spans="2:7" s="195" customFormat="1" ht="17.25" customHeight="1" x14ac:dyDescent="0.15">
      <c r="B205" s="210">
        <v>196</v>
      </c>
      <c r="C205" s="215"/>
      <c r="D205" s="212"/>
      <c r="E205" s="213"/>
      <c r="G205" s="214" t="str">
        <f t="shared" si="3"/>
        <v/>
      </c>
    </row>
    <row r="206" spans="2:7" s="195" customFormat="1" ht="17.25" customHeight="1" x14ac:dyDescent="0.15">
      <c r="B206" s="210">
        <v>197</v>
      </c>
      <c r="C206" s="215"/>
      <c r="D206" s="212"/>
      <c r="E206" s="213"/>
      <c r="G206" s="214" t="str">
        <f t="shared" si="3"/>
        <v/>
      </c>
    </row>
    <row r="207" spans="2:7" s="195" customFormat="1" ht="17.25" customHeight="1" x14ac:dyDescent="0.15">
      <c r="B207" s="210">
        <v>198</v>
      </c>
      <c r="C207" s="215"/>
      <c r="D207" s="212"/>
      <c r="E207" s="213"/>
      <c r="G207" s="214" t="str">
        <f t="shared" si="3"/>
        <v/>
      </c>
    </row>
    <row r="208" spans="2:7" s="195" customFormat="1" ht="17.25" customHeight="1" x14ac:dyDescent="0.15">
      <c r="B208" s="210">
        <v>199</v>
      </c>
      <c r="C208" s="215"/>
      <c r="D208" s="212"/>
      <c r="E208" s="213"/>
      <c r="G208" s="214" t="str">
        <f t="shared" si="3"/>
        <v/>
      </c>
    </row>
    <row r="209" spans="2:7" s="195" customFormat="1" ht="17.25" customHeight="1" x14ac:dyDescent="0.15">
      <c r="B209" s="210">
        <v>200</v>
      </c>
      <c r="C209" s="215"/>
      <c r="D209" s="212"/>
      <c r="E209" s="213"/>
      <c r="G209" s="214" t="str">
        <f t="shared" si="3"/>
        <v/>
      </c>
    </row>
  </sheetData>
  <sheetProtection algorithmName="SHA-512" hashValue="7ioQuMe7nqwUeGYjIXXGuCS8wQxQBvPw3NMGJZyvfwzRkF6IrblPhKmTpv0ZF3bwgcBGTyY/JsE9TPbhXZUrUg==" saltValue="PAqO2MufBxO+sAN3fBbWhg==" spinCount="100000" sheet="1" objects="1" scenarios="1" formatCells="0" formatRows="0" insertRows="0" deleteRows="0"/>
  <mergeCells count="2">
    <mergeCell ref="A1:F1"/>
    <mergeCell ref="C7:E7"/>
  </mergeCells>
  <phoneticPr fontId="1"/>
  <conditionalFormatting sqref="C7:E7">
    <cfRule type="expression" dxfId="28" priority="2">
      <formula>$C$7=""</formula>
    </cfRule>
  </conditionalFormatting>
  <conditionalFormatting sqref="C10:E209">
    <cfRule type="expression" dxfId="27" priority="3">
      <formula>$G10="OK"</formula>
    </cfRule>
  </conditionalFormatting>
  <conditionalFormatting sqref="D5">
    <cfRule type="expression" dxfId="26" priority="1">
      <formula>$D$5&lt;&gt;""</formula>
    </cfRule>
  </conditionalFormatting>
  <dataValidations count="1">
    <dataValidation type="list" allowBlank="1" showInputMessage="1" showErrorMessage="1" sqref="D5" xr:uid="{DF75A15A-A4B2-4092-84CD-44F36CE860BC}">
      <formula1>"直販（最終ユーザー),中間卸事業者"</formula1>
    </dataValidation>
  </dataValidations>
  <pageMargins left="0.23622047244094491" right="0.23622047244094491" top="0.35433070866141736" bottom="0.35433070866141736" header="0.31496062992125984" footer="0.31496062992125984"/>
  <pageSetup paperSize="9" scale="96"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231EA-3742-44ED-918E-250CC627E2F8}">
  <sheetPr codeName="Sheet4">
    <tabColor rgb="FFFFFF00"/>
    <pageSetUpPr fitToPage="1"/>
  </sheetPr>
  <dimension ref="A1:BF145"/>
  <sheetViews>
    <sheetView view="pageBreakPreview" zoomScale="115" zoomScaleNormal="40" zoomScaleSheetLayoutView="115" workbookViewId="0">
      <selection sqref="A1:AT2"/>
    </sheetView>
  </sheetViews>
  <sheetFormatPr defaultColWidth="8.875" defaultRowHeight="12" x14ac:dyDescent="0.15"/>
  <cols>
    <col min="1" max="46" width="2.125" style="123" customWidth="1"/>
    <col min="47" max="47" width="8" style="130" hidden="1" customWidth="1"/>
    <col min="48" max="48" width="28.375" style="128" customWidth="1"/>
    <col min="49" max="57" width="2.125" style="123" customWidth="1"/>
    <col min="58" max="61" width="3.5" style="123" customWidth="1"/>
    <col min="62" max="16384" width="8.875" style="123"/>
  </cols>
  <sheetData>
    <row r="1" spans="1:48" x14ac:dyDescent="0.15">
      <c r="A1" s="280" t="s">
        <v>267</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2"/>
    </row>
    <row r="2" spans="1:48" x14ac:dyDescent="0.15">
      <c r="A2" s="283"/>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5"/>
    </row>
    <row r="3" spans="1:48" x14ac:dyDescent="0.15">
      <c r="A3" s="286" t="str">
        <f>"【"&amp;製品カテゴリ&amp;"】"</f>
        <v>【AGV・AMR】</v>
      </c>
      <c r="B3" s="286"/>
      <c r="C3" s="286"/>
      <c r="D3" s="286"/>
      <c r="E3" s="286"/>
      <c r="F3" s="286"/>
      <c r="G3" s="286"/>
      <c r="H3" s="286"/>
      <c r="I3" s="286"/>
      <c r="J3" s="286"/>
      <c r="K3" s="286"/>
      <c r="L3" s="286"/>
      <c r="M3" s="286"/>
      <c r="N3" s="286"/>
      <c r="O3" s="286"/>
      <c r="P3" s="286"/>
      <c r="Q3" s="286"/>
      <c r="R3" s="286"/>
      <c r="S3" s="286"/>
      <c r="T3" s="286"/>
      <c r="U3" s="286"/>
      <c r="V3" s="286"/>
      <c r="W3" s="286"/>
      <c r="X3" s="288" t="str">
        <f>IF(AV3=AU3,"","未入力または適切ではない項目があります")</f>
        <v>未入力または適切ではない項目があります</v>
      </c>
      <c r="Y3" s="288"/>
      <c r="Z3" s="288"/>
      <c r="AA3" s="288"/>
      <c r="AB3" s="288"/>
      <c r="AC3" s="288"/>
      <c r="AD3" s="288"/>
      <c r="AE3" s="288"/>
      <c r="AF3" s="288"/>
      <c r="AG3" s="288"/>
      <c r="AH3" s="288"/>
      <c r="AI3" s="288"/>
      <c r="AJ3" s="288"/>
      <c r="AK3" s="288"/>
      <c r="AL3" s="288"/>
      <c r="AM3" s="288"/>
      <c r="AN3" s="288"/>
      <c r="AO3" s="288"/>
      <c r="AP3" s="290" t="s">
        <v>225</v>
      </c>
      <c r="AQ3" s="290"/>
      <c r="AR3" s="290"/>
      <c r="AS3" s="290"/>
      <c r="AT3" s="290"/>
      <c r="AU3" s="130">
        <v>23</v>
      </c>
      <c r="AV3" s="124">
        <f>COUNTIF(AV8:AV108,"OK")</f>
        <v>0</v>
      </c>
    </row>
    <row r="4" spans="1:48" x14ac:dyDescent="0.15">
      <c r="A4" s="287"/>
      <c r="B4" s="287"/>
      <c r="C4" s="287"/>
      <c r="D4" s="287"/>
      <c r="E4" s="287"/>
      <c r="F4" s="287"/>
      <c r="G4" s="287"/>
      <c r="H4" s="287"/>
      <c r="I4" s="287"/>
      <c r="J4" s="287"/>
      <c r="K4" s="287"/>
      <c r="L4" s="287"/>
      <c r="M4" s="287"/>
      <c r="N4" s="287"/>
      <c r="O4" s="287"/>
      <c r="P4" s="287"/>
      <c r="Q4" s="287"/>
      <c r="R4" s="287"/>
      <c r="S4" s="287"/>
      <c r="T4" s="287"/>
      <c r="U4" s="287"/>
      <c r="V4" s="287"/>
      <c r="W4" s="287"/>
      <c r="X4" s="289"/>
      <c r="Y4" s="289"/>
      <c r="Z4" s="289"/>
      <c r="AA4" s="289"/>
      <c r="AB4" s="289"/>
      <c r="AC4" s="289"/>
      <c r="AD4" s="289"/>
      <c r="AE4" s="289"/>
      <c r="AF4" s="289"/>
      <c r="AG4" s="289"/>
      <c r="AH4" s="289"/>
      <c r="AI4" s="289"/>
      <c r="AJ4" s="289"/>
      <c r="AK4" s="289"/>
      <c r="AL4" s="289"/>
      <c r="AM4" s="289"/>
      <c r="AN4" s="289"/>
      <c r="AO4" s="289"/>
      <c r="AP4" s="291"/>
      <c r="AQ4" s="291"/>
      <c r="AR4" s="291"/>
      <c r="AS4" s="291"/>
      <c r="AT4" s="291"/>
    </row>
    <row r="5" spans="1:48" x14ac:dyDescent="0.15">
      <c r="A5" s="177"/>
      <c r="B5" s="292" t="s">
        <v>226</v>
      </c>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178"/>
    </row>
    <row r="6" spans="1:48" x14ac:dyDescent="0.15">
      <c r="A6" s="125"/>
      <c r="B6" s="293" t="s">
        <v>227</v>
      </c>
      <c r="C6" s="293"/>
      <c r="D6" s="293"/>
      <c r="E6" s="293"/>
      <c r="F6" s="293"/>
      <c r="G6" s="293"/>
      <c r="H6" s="293"/>
      <c r="I6" s="293"/>
      <c r="J6" s="293"/>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row>
    <row r="7" spans="1:48" x14ac:dyDescent="0.15">
      <c r="A7" s="125"/>
      <c r="B7" s="294"/>
      <c r="C7" s="294"/>
      <c r="D7" s="294"/>
      <c r="E7" s="294"/>
      <c r="F7" s="294"/>
      <c r="G7" s="294"/>
      <c r="H7" s="294"/>
      <c r="I7" s="294"/>
      <c r="J7" s="293"/>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row>
    <row r="8" spans="1:48" x14ac:dyDescent="0.15">
      <c r="A8" s="125"/>
      <c r="B8" s="295" t="s">
        <v>268</v>
      </c>
      <c r="C8" s="296"/>
      <c r="D8" s="296"/>
      <c r="E8" s="296"/>
      <c r="F8" s="296"/>
      <c r="G8" s="296"/>
      <c r="H8" s="296"/>
      <c r="I8" s="347"/>
      <c r="J8" s="299">
        <f>製造事業者名</f>
        <v>0</v>
      </c>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1"/>
      <c r="AT8" s="125"/>
    </row>
    <row r="9" spans="1:48" ht="12.75" thickBot="1" x14ac:dyDescent="0.2">
      <c r="A9" s="125"/>
      <c r="B9" s="297"/>
      <c r="C9" s="298"/>
      <c r="D9" s="298"/>
      <c r="E9" s="298"/>
      <c r="F9" s="298"/>
      <c r="G9" s="298"/>
      <c r="H9" s="298"/>
      <c r="I9" s="348"/>
      <c r="J9" s="302"/>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4"/>
      <c r="AT9" s="125"/>
    </row>
    <row r="10" spans="1:48" x14ac:dyDescent="0.15">
      <c r="A10" s="125"/>
      <c r="B10" s="295" t="s">
        <v>269</v>
      </c>
      <c r="C10" s="296"/>
      <c r="D10" s="296"/>
      <c r="E10" s="296"/>
      <c r="F10" s="296"/>
      <c r="G10" s="296"/>
      <c r="H10" s="296"/>
      <c r="I10" s="296"/>
      <c r="J10" s="464"/>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6"/>
      <c r="AT10" s="125"/>
      <c r="AV10" s="126" t="str">
        <f>IF(J10&lt;&gt;"","OK","必須")</f>
        <v>必須</v>
      </c>
    </row>
    <row r="11" spans="1:48" ht="12.75" thickBot="1" x14ac:dyDescent="0.2">
      <c r="A11" s="125"/>
      <c r="B11" s="297"/>
      <c r="C11" s="298"/>
      <c r="D11" s="298"/>
      <c r="E11" s="298"/>
      <c r="F11" s="298"/>
      <c r="G11" s="298"/>
      <c r="H11" s="298"/>
      <c r="I11" s="298"/>
      <c r="J11" s="467"/>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9"/>
      <c r="AT11" s="125"/>
    </row>
    <row r="12" spans="1:48" x14ac:dyDescent="0.15">
      <c r="A12" s="125"/>
      <c r="B12" s="295" t="s">
        <v>270</v>
      </c>
      <c r="C12" s="296"/>
      <c r="D12" s="296"/>
      <c r="E12" s="296"/>
      <c r="F12" s="296"/>
      <c r="G12" s="296"/>
      <c r="H12" s="296"/>
      <c r="I12" s="296"/>
      <c r="J12" s="464"/>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6"/>
      <c r="AT12" s="125"/>
      <c r="AV12" s="126" t="str">
        <f>IF(J12&lt;&gt;"","OK","必須")</f>
        <v>必須</v>
      </c>
    </row>
    <row r="13" spans="1:48" ht="12.75" thickBot="1" x14ac:dyDescent="0.2">
      <c r="A13" s="125"/>
      <c r="B13" s="297"/>
      <c r="C13" s="298"/>
      <c r="D13" s="298"/>
      <c r="E13" s="298"/>
      <c r="F13" s="298"/>
      <c r="G13" s="298"/>
      <c r="H13" s="298"/>
      <c r="I13" s="298"/>
      <c r="J13" s="467"/>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8"/>
      <c r="AN13" s="468"/>
      <c r="AO13" s="468"/>
      <c r="AP13" s="468"/>
      <c r="AQ13" s="468"/>
      <c r="AR13" s="468"/>
      <c r="AS13" s="469"/>
      <c r="AT13" s="125"/>
    </row>
    <row r="14" spans="1:48" x14ac:dyDescent="0.15">
      <c r="A14" s="125"/>
      <c r="B14" s="295" t="s">
        <v>271</v>
      </c>
      <c r="C14" s="296"/>
      <c r="D14" s="296"/>
      <c r="E14" s="296"/>
      <c r="F14" s="296"/>
      <c r="G14" s="296"/>
      <c r="H14" s="296"/>
      <c r="I14" s="296"/>
      <c r="J14" s="476"/>
      <c r="K14" s="477"/>
      <c r="L14" s="477"/>
      <c r="M14" s="477"/>
      <c r="N14" s="477"/>
      <c r="O14" s="477"/>
      <c r="P14" s="477"/>
      <c r="Q14" s="477"/>
      <c r="R14" s="477"/>
      <c r="S14" s="477"/>
      <c r="T14" s="477"/>
      <c r="U14" s="478"/>
      <c r="V14" s="190"/>
      <c r="W14" s="217" t="s">
        <v>416</v>
      </c>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25"/>
      <c r="AV14" s="128" t="str">
        <f>IF(J14&lt;&gt;"",IF(LEN(ASC(J14))=13,IF(ISNUMBER(J14),"OK","半角数字で入力してください"),"半角数字13桁で入力してください"),"必須")</f>
        <v>必須</v>
      </c>
    </row>
    <row r="15" spans="1:48" ht="14.25" thickBot="1" x14ac:dyDescent="0.2">
      <c r="A15" s="125"/>
      <c r="B15" s="297"/>
      <c r="C15" s="298"/>
      <c r="D15" s="298"/>
      <c r="E15" s="298"/>
      <c r="F15" s="298"/>
      <c r="G15" s="298"/>
      <c r="H15" s="298"/>
      <c r="I15" s="298"/>
      <c r="J15" s="479"/>
      <c r="K15" s="480"/>
      <c r="L15" s="480"/>
      <c r="M15" s="480"/>
      <c r="N15" s="480"/>
      <c r="O15" s="480"/>
      <c r="P15" s="480"/>
      <c r="Q15" s="480"/>
      <c r="R15" s="480"/>
      <c r="S15" s="480"/>
      <c r="T15" s="480"/>
      <c r="U15" s="481"/>
      <c r="V15" s="190"/>
      <c r="W15" s="218" t="s">
        <v>417</v>
      </c>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25"/>
    </row>
    <row r="16" spans="1:48" x14ac:dyDescent="0.15">
      <c r="A16" s="125"/>
      <c r="B16" s="293" t="s">
        <v>272</v>
      </c>
      <c r="C16" s="293"/>
      <c r="D16" s="293"/>
      <c r="E16" s="293"/>
      <c r="F16" s="293"/>
      <c r="G16" s="293"/>
      <c r="H16" s="293"/>
      <c r="I16" s="293"/>
      <c r="J16" s="293"/>
      <c r="K16" s="293"/>
      <c r="L16" s="293"/>
      <c r="M16" s="293"/>
      <c r="N16" s="293"/>
      <c r="O16" s="293"/>
      <c r="P16" s="293"/>
      <c r="Q16" s="293"/>
      <c r="R16" s="293"/>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row>
    <row r="17" spans="1:48" ht="12.75" thickBot="1" x14ac:dyDescent="0.2">
      <c r="A17" s="125"/>
      <c r="B17" s="294"/>
      <c r="C17" s="294"/>
      <c r="D17" s="294"/>
      <c r="E17" s="294"/>
      <c r="F17" s="294"/>
      <c r="G17" s="294"/>
      <c r="H17" s="294"/>
      <c r="I17" s="294"/>
      <c r="J17" s="293"/>
      <c r="K17" s="293"/>
      <c r="L17" s="293"/>
      <c r="M17" s="293"/>
      <c r="N17" s="293"/>
      <c r="O17" s="293"/>
      <c r="P17" s="293"/>
      <c r="Q17" s="293"/>
      <c r="R17" s="293"/>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row>
    <row r="18" spans="1:48" ht="12.95" customHeight="1" x14ac:dyDescent="0.15">
      <c r="A18" s="125"/>
      <c r="B18" s="482" t="s">
        <v>273</v>
      </c>
      <c r="C18" s="296"/>
      <c r="D18" s="296"/>
      <c r="E18" s="296"/>
      <c r="F18" s="296"/>
      <c r="G18" s="296"/>
      <c r="H18" s="296"/>
      <c r="I18" s="296"/>
      <c r="J18" s="483"/>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9"/>
      <c r="AT18" s="125"/>
    </row>
    <row r="19" spans="1:48" x14ac:dyDescent="0.15">
      <c r="A19" s="125"/>
      <c r="B19" s="305"/>
      <c r="C19" s="306"/>
      <c r="D19" s="306"/>
      <c r="E19" s="306"/>
      <c r="F19" s="306"/>
      <c r="G19" s="306"/>
      <c r="H19" s="306"/>
      <c r="I19" s="306"/>
      <c r="J19" s="310"/>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2"/>
      <c r="AT19" s="125"/>
      <c r="AV19" s="126" t="str">
        <f>IF(J18&lt;&gt;"","OK","必須")</f>
        <v>必須</v>
      </c>
    </row>
    <row r="20" spans="1:48" x14ac:dyDescent="0.15">
      <c r="A20" s="125"/>
      <c r="B20" s="305"/>
      <c r="C20" s="306"/>
      <c r="D20" s="306"/>
      <c r="E20" s="306"/>
      <c r="F20" s="306"/>
      <c r="G20" s="306"/>
      <c r="H20" s="306"/>
      <c r="I20" s="306"/>
      <c r="J20" s="310"/>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2"/>
      <c r="AT20" s="125"/>
    </row>
    <row r="21" spans="1:48" ht="12.75" thickBot="1" x14ac:dyDescent="0.2">
      <c r="A21" s="125"/>
      <c r="B21" s="297"/>
      <c r="C21" s="298"/>
      <c r="D21" s="298"/>
      <c r="E21" s="298"/>
      <c r="F21" s="298"/>
      <c r="G21" s="341"/>
      <c r="H21" s="341"/>
      <c r="I21" s="341"/>
      <c r="J21" s="484"/>
      <c r="K21" s="485"/>
      <c r="L21" s="485"/>
      <c r="M21" s="485"/>
      <c r="N21" s="485"/>
      <c r="O21" s="485"/>
      <c r="P21" s="485"/>
      <c r="Q21" s="485"/>
      <c r="R21" s="485"/>
      <c r="S21" s="485"/>
      <c r="T21" s="485"/>
      <c r="U21" s="485"/>
      <c r="V21" s="485"/>
      <c r="W21" s="485"/>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5"/>
      <c r="AT21" s="125"/>
    </row>
    <row r="22" spans="1:48" x14ac:dyDescent="0.15">
      <c r="A22" s="125"/>
      <c r="B22" s="369" t="s">
        <v>274</v>
      </c>
      <c r="C22" s="369"/>
      <c r="D22" s="369"/>
      <c r="E22" s="369"/>
      <c r="F22" s="369"/>
      <c r="G22" s="369"/>
      <c r="H22" s="369"/>
      <c r="I22" s="369"/>
      <c r="J22" s="369"/>
      <c r="K22" s="369"/>
      <c r="L22" s="369"/>
      <c r="M22" s="369"/>
      <c r="N22" s="369"/>
      <c r="O22" s="369"/>
      <c r="P22" s="369"/>
      <c r="Q22" s="369"/>
      <c r="R22" s="369"/>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25"/>
    </row>
    <row r="23" spans="1:48" ht="12.75" thickBot="1" x14ac:dyDescent="0.2">
      <c r="A23" s="125"/>
      <c r="B23" s="486"/>
      <c r="C23" s="486"/>
      <c r="D23" s="486"/>
      <c r="E23" s="486"/>
      <c r="F23" s="486"/>
      <c r="G23" s="486"/>
      <c r="H23" s="486"/>
      <c r="I23" s="486"/>
      <c r="J23" s="369"/>
      <c r="K23" s="369"/>
      <c r="L23" s="369"/>
      <c r="M23" s="369"/>
      <c r="N23" s="369"/>
      <c r="O23" s="369"/>
      <c r="P23" s="369"/>
      <c r="Q23" s="369"/>
      <c r="R23" s="369"/>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25"/>
    </row>
    <row r="24" spans="1:48" ht="12.95" customHeight="1" x14ac:dyDescent="0.15">
      <c r="A24" s="125"/>
      <c r="B24" s="388" t="s">
        <v>275</v>
      </c>
      <c r="C24" s="389"/>
      <c r="D24" s="389"/>
      <c r="E24" s="389"/>
      <c r="F24" s="389"/>
      <c r="G24" s="487"/>
      <c r="H24" s="487"/>
      <c r="I24" s="487"/>
      <c r="J24" s="307"/>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9"/>
      <c r="AT24" s="125"/>
      <c r="AV24" s="126" t="str">
        <f>IF(J24&lt;&gt;"","OK",IF(AU29=TRUE,"OK", "URLまたは☑いずれか必須"))</f>
        <v>URLまたは☑いずれか必須</v>
      </c>
    </row>
    <row r="25" spans="1:48" ht="12.75" thickBot="1" x14ac:dyDescent="0.2">
      <c r="A25" s="125"/>
      <c r="B25" s="392"/>
      <c r="C25" s="393"/>
      <c r="D25" s="393"/>
      <c r="E25" s="393"/>
      <c r="F25" s="393"/>
      <c r="G25" s="488"/>
      <c r="H25" s="488"/>
      <c r="I25" s="488"/>
      <c r="J25" s="313"/>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5"/>
      <c r="AT25" s="125"/>
    </row>
    <row r="26" spans="1:48" s="131" customFormat="1" x14ac:dyDescent="0.15">
      <c r="A26" s="219"/>
      <c r="B26" s="219"/>
      <c r="C26" s="219"/>
      <c r="D26" s="219"/>
      <c r="E26" s="219"/>
      <c r="F26" s="219"/>
      <c r="G26" s="219"/>
      <c r="H26" s="219"/>
      <c r="I26" s="219"/>
      <c r="J26" s="220" t="s">
        <v>418</v>
      </c>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U26" s="221"/>
    </row>
    <row r="27" spans="1:48" ht="17.25" customHeight="1" thickBot="1" x14ac:dyDescent="0.2">
      <c r="A27" s="125"/>
      <c r="C27" s="222"/>
      <c r="D27" s="222"/>
      <c r="E27" s="222"/>
      <c r="F27" s="222"/>
      <c r="G27" s="222"/>
      <c r="H27" s="222"/>
      <c r="I27" s="222"/>
      <c r="J27" s="184" t="s">
        <v>419</v>
      </c>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125"/>
    </row>
    <row r="28" spans="1:48" ht="12.95" customHeight="1" x14ac:dyDescent="0.15">
      <c r="A28" s="125"/>
      <c r="B28" s="223"/>
      <c r="C28" s="222"/>
      <c r="D28" s="222"/>
      <c r="E28" s="222"/>
      <c r="F28" s="222"/>
      <c r="G28" s="222"/>
      <c r="H28" s="222"/>
      <c r="I28" s="224"/>
      <c r="J28" s="180"/>
      <c r="K28" s="181"/>
      <c r="L28" s="489" t="s">
        <v>420</v>
      </c>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0"/>
      <c r="AM28" s="490"/>
      <c r="AN28" s="490"/>
      <c r="AO28" s="490"/>
      <c r="AP28" s="490"/>
      <c r="AQ28" s="490"/>
      <c r="AR28" s="490"/>
      <c r="AS28" s="491"/>
      <c r="AT28" s="125"/>
      <c r="AV28" s="126" t="str">
        <f>IF(J24="","",IF(AU29=FALSE,"", "URLがある場合は☑は不要です"))</f>
        <v/>
      </c>
    </row>
    <row r="29" spans="1:48" ht="12.75" thickBot="1" x14ac:dyDescent="0.2">
      <c r="A29" s="125"/>
      <c r="B29" s="222"/>
      <c r="C29" s="222"/>
      <c r="D29" s="222"/>
      <c r="E29" s="222"/>
      <c r="F29" s="222"/>
      <c r="G29" s="222"/>
      <c r="H29" s="222"/>
      <c r="I29" s="224"/>
      <c r="J29" s="182"/>
      <c r="K29" s="183"/>
      <c r="L29" s="492"/>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3"/>
      <c r="AP29" s="493"/>
      <c r="AQ29" s="493"/>
      <c r="AR29" s="493"/>
      <c r="AS29" s="494"/>
      <c r="AT29" s="125"/>
      <c r="AU29" s="130" t="b">
        <v>0</v>
      </c>
    </row>
    <row r="30" spans="1:48" x14ac:dyDescent="0.15">
      <c r="A30" s="125"/>
      <c r="B30" s="495" t="s">
        <v>247</v>
      </c>
      <c r="C30" s="495"/>
      <c r="D30" s="495"/>
      <c r="E30" s="495"/>
      <c r="F30" s="495"/>
      <c r="G30" s="495"/>
      <c r="H30" s="495"/>
      <c r="I30" s="495"/>
      <c r="J30" s="49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row>
    <row r="31" spans="1:48" x14ac:dyDescent="0.15">
      <c r="A31" s="125"/>
      <c r="B31" s="495"/>
      <c r="C31" s="495"/>
      <c r="D31" s="495"/>
      <c r="E31" s="495"/>
      <c r="F31" s="495"/>
      <c r="G31" s="495"/>
      <c r="H31" s="495"/>
      <c r="I31" s="495"/>
      <c r="J31" s="49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row>
    <row r="32" spans="1:48" x14ac:dyDescent="0.15">
      <c r="A32" s="125"/>
      <c r="B32" s="293" t="s">
        <v>248</v>
      </c>
      <c r="C32" s="293"/>
      <c r="D32" s="293"/>
      <c r="E32" s="293"/>
      <c r="F32" s="293"/>
      <c r="G32" s="496"/>
      <c r="H32" s="496"/>
      <c r="I32" s="496"/>
      <c r="J32" s="496"/>
      <c r="K32" s="496"/>
      <c r="L32" s="496"/>
      <c r="M32" s="496"/>
      <c r="N32" s="496"/>
      <c r="O32" s="496"/>
      <c r="P32" s="496"/>
      <c r="Q32" s="496"/>
      <c r="R32" s="496"/>
      <c r="S32" s="496"/>
      <c r="T32" s="496"/>
      <c r="U32" s="496"/>
      <c r="V32" s="496"/>
      <c r="W32" s="496"/>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125"/>
    </row>
    <row r="33" spans="1:48" ht="12.75" thickBot="1" x14ac:dyDescent="0.2">
      <c r="A33" s="125"/>
      <c r="B33" s="294"/>
      <c r="C33" s="294"/>
      <c r="D33" s="294"/>
      <c r="E33" s="294"/>
      <c r="F33" s="294"/>
      <c r="G33" s="497"/>
      <c r="H33" s="497"/>
      <c r="I33" s="497"/>
      <c r="J33" s="497"/>
      <c r="K33" s="497"/>
      <c r="L33" s="497"/>
      <c r="M33" s="497"/>
      <c r="N33" s="497"/>
      <c r="O33" s="497"/>
      <c r="P33" s="497"/>
      <c r="Q33" s="497"/>
      <c r="R33" s="497"/>
      <c r="S33" s="497"/>
      <c r="T33" s="497"/>
      <c r="U33" s="497"/>
      <c r="V33" s="497"/>
      <c r="W33" s="497"/>
      <c r="X33" s="294"/>
      <c r="Y33" s="294"/>
      <c r="Z33" s="294"/>
      <c r="AA33" s="294"/>
      <c r="AB33" s="294"/>
      <c r="AC33" s="294"/>
      <c r="AD33" s="294"/>
      <c r="AE33" s="294"/>
      <c r="AF33" s="294"/>
      <c r="AG33" s="294"/>
      <c r="AH33" s="294"/>
      <c r="AI33" s="294"/>
      <c r="AJ33" s="294"/>
      <c r="AK33" s="294"/>
      <c r="AL33" s="294"/>
      <c r="AM33" s="294"/>
      <c r="AN33" s="294"/>
      <c r="AO33" s="294"/>
      <c r="AP33" s="294"/>
      <c r="AQ33" s="294"/>
      <c r="AR33" s="293"/>
      <c r="AS33" s="293"/>
      <c r="AT33" s="125"/>
    </row>
    <row r="34" spans="1:48" ht="16.5" customHeight="1" thickBot="1" x14ac:dyDescent="0.2">
      <c r="A34" s="125"/>
      <c r="B34" s="410" t="s">
        <v>249</v>
      </c>
      <c r="C34" s="411"/>
      <c r="D34" s="410" t="s">
        <v>276</v>
      </c>
      <c r="E34" s="470"/>
      <c r="F34" s="470"/>
      <c r="G34" s="335"/>
      <c r="H34" s="335"/>
      <c r="I34" s="471"/>
      <c r="J34" s="474" t="s">
        <v>421</v>
      </c>
      <c r="K34" s="475"/>
      <c r="L34" s="475"/>
      <c r="M34" s="475"/>
      <c r="N34" s="475"/>
      <c r="O34" s="475"/>
      <c r="P34" s="475"/>
      <c r="Q34" s="475"/>
      <c r="R34" s="475"/>
      <c r="S34" s="475"/>
      <c r="T34" s="475"/>
      <c r="U34" s="475"/>
      <c r="V34" s="475"/>
      <c r="W34" s="475"/>
      <c r="X34" s="364"/>
      <c r="Y34" s="364"/>
      <c r="Z34" s="364"/>
      <c r="AA34" s="364"/>
      <c r="AB34" s="364"/>
      <c r="AC34" s="364"/>
      <c r="AD34" s="364"/>
      <c r="AE34" s="364"/>
      <c r="AF34" s="364"/>
      <c r="AG34" s="364"/>
      <c r="AH34" s="364"/>
      <c r="AI34" s="364"/>
      <c r="AJ34" s="364"/>
      <c r="AK34" s="364"/>
      <c r="AL34" s="364"/>
      <c r="AM34" s="364"/>
      <c r="AN34" s="364"/>
      <c r="AO34" s="364"/>
      <c r="AP34" s="364"/>
      <c r="AQ34" s="364"/>
      <c r="AR34" s="431"/>
      <c r="AS34" s="432"/>
      <c r="AT34" s="125"/>
      <c r="AV34" s="126"/>
    </row>
    <row r="35" spans="1:48" ht="16.5" customHeight="1" thickBot="1" x14ac:dyDescent="0.2">
      <c r="A35" s="125"/>
      <c r="B35" s="412"/>
      <c r="C35" s="413"/>
      <c r="D35" s="412"/>
      <c r="E35" s="472"/>
      <c r="F35" s="472"/>
      <c r="G35" s="472"/>
      <c r="H35" s="472"/>
      <c r="I35" s="413"/>
      <c r="J35" s="458"/>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31"/>
      <c r="AS35" s="432"/>
      <c r="AT35" s="125"/>
      <c r="AU35" s="130" t="b">
        <v>0</v>
      </c>
      <c r="AV35" s="126" t="str">
        <f>IF(AU35,"OK","必須")</f>
        <v>必須</v>
      </c>
    </row>
    <row r="36" spans="1:48" ht="16.5" customHeight="1" thickBot="1" x14ac:dyDescent="0.2">
      <c r="A36" s="125"/>
      <c r="B36" s="414"/>
      <c r="C36" s="415"/>
      <c r="D36" s="414"/>
      <c r="E36" s="473"/>
      <c r="F36" s="473"/>
      <c r="G36" s="473"/>
      <c r="H36" s="473"/>
      <c r="I36" s="415"/>
      <c r="J36" s="366"/>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431"/>
      <c r="AS36" s="432"/>
      <c r="AT36" s="125"/>
      <c r="AV36" s="126"/>
    </row>
    <row r="37" spans="1:48" ht="12" customHeight="1" thickBot="1" x14ac:dyDescent="0.2">
      <c r="A37" s="125"/>
      <c r="B37" s="410" t="s">
        <v>250</v>
      </c>
      <c r="C37" s="411"/>
      <c r="D37" s="410" t="s">
        <v>276</v>
      </c>
      <c r="E37" s="470"/>
      <c r="F37" s="470"/>
      <c r="G37" s="470"/>
      <c r="H37" s="470"/>
      <c r="I37" s="411"/>
      <c r="J37" s="363" t="s">
        <v>277</v>
      </c>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431"/>
      <c r="AS37" s="432"/>
      <c r="AT37" s="125"/>
      <c r="AV37" s="126"/>
    </row>
    <row r="38" spans="1:48" ht="12.75" thickBot="1" x14ac:dyDescent="0.2">
      <c r="A38" s="125"/>
      <c r="B38" s="412"/>
      <c r="C38" s="413"/>
      <c r="D38" s="412"/>
      <c r="E38" s="472"/>
      <c r="F38" s="472"/>
      <c r="G38" s="472"/>
      <c r="H38" s="472"/>
      <c r="I38" s="413"/>
      <c r="J38" s="458"/>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31"/>
      <c r="AS38" s="432"/>
      <c r="AT38" s="125"/>
      <c r="AU38" s="130" t="b">
        <v>0</v>
      </c>
      <c r="AV38" s="126" t="str">
        <f>IF(AU38,"OK","必須")</f>
        <v>必須</v>
      </c>
    </row>
    <row r="39" spans="1:48" ht="12.75" thickBot="1" x14ac:dyDescent="0.2">
      <c r="A39" s="125"/>
      <c r="B39" s="414"/>
      <c r="C39" s="415"/>
      <c r="D39" s="414"/>
      <c r="E39" s="473"/>
      <c r="F39" s="473"/>
      <c r="G39" s="473"/>
      <c r="H39" s="473"/>
      <c r="I39" s="415"/>
      <c r="J39" s="366"/>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431"/>
      <c r="AS39" s="432"/>
      <c r="AT39" s="125"/>
      <c r="AV39" s="126"/>
    </row>
    <row r="40" spans="1:48" ht="12.75" thickBot="1" x14ac:dyDescent="0.2">
      <c r="A40" s="125"/>
      <c r="B40" s="410" t="s">
        <v>251</v>
      </c>
      <c r="C40" s="411"/>
      <c r="D40" s="410" t="s">
        <v>276</v>
      </c>
      <c r="E40" s="470"/>
      <c r="F40" s="470"/>
      <c r="G40" s="470"/>
      <c r="H40" s="470"/>
      <c r="I40" s="411"/>
      <c r="J40" s="363" t="s">
        <v>278</v>
      </c>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431"/>
      <c r="AS40" s="432"/>
      <c r="AT40" s="125"/>
      <c r="AV40" s="126"/>
    </row>
    <row r="41" spans="1:48" ht="12.75" thickBot="1" x14ac:dyDescent="0.2">
      <c r="A41" s="125"/>
      <c r="B41" s="412"/>
      <c r="C41" s="413"/>
      <c r="D41" s="412"/>
      <c r="E41" s="472"/>
      <c r="F41" s="472"/>
      <c r="G41" s="472"/>
      <c r="H41" s="472"/>
      <c r="I41" s="413"/>
      <c r="J41" s="458"/>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c r="AR41" s="431"/>
      <c r="AS41" s="432"/>
      <c r="AT41" s="125"/>
      <c r="AU41" s="130" t="b">
        <v>0</v>
      </c>
      <c r="AV41" s="126" t="str">
        <f>IF(AU41,"OK","必須")</f>
        <v>必須</v>
      </c>
    </row>
    <row r="42" spans="1:48" ht="12.75" thickBot="1" x14ac:dyDescent="0.2">
      <c r="A42" s="125"/>
      <c r="B42" s="414"/>
      <c r="C42" s="415"/>
      <c r="D42" s="414"/>
      <c r="E42" s="473"/>
      <c r="F42" s="473"/>
      <c r="G42" s="473"/>
      <c r="H42" s="473"/>
      <c r="I42" s="415"/>
      <c r="J42" s="366"/>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431"/>
      <c r="AS42" s="432"/>
      <c r="AT42" s="125"/>
      <c r="AV42" s="126"/>
    </row>
    <row r="43" spans="1:48" ht="12.75" thickBot="1" x14ac:dyDescent="0.2">
      <c r="A43" s="125"/>
      <c r="B43" s="410" t="s">
        <v>252</v>
      </c>
      <c r="C43" s="411"/>
      <c r="D43" s="410" t="s">
        <v>276</v>
      </c>
      <c r="E43" s="470"/>
      <c r="F43" s="470"/>
      <c r="G43" s="470"/>
      <c r="H43" s="470"/>
      <c r="I43" s="411"/>
      <c r="J43" s="363" t="s">
        <v>279</v>
      </c>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431"/>
      <c r="AS43" s="432"/>
      <c r="AT43" s="125"/>
      <c r="AV43" s="126"/>
    </row>
    <row r="44" spans="1:48" ht="12.75" thickBot="1" x14ac:dyDescent="0.2">
      <c r="A44" s="125"/>
      <c r="B44" s="412"/>
      <c r="C44" s="413"/>
      <c r="D44" s="412"/>
      <c r="E44" s="472"/>
      <c r="F44" s="472"/>
      <c r="G44" s="472"/>
      <c r="H44" s="472"/>
      <c r="I44" s="413"/>
      <c r="J44" s="458"/>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431"/>
      <c r="AS44" s="432"/>
      <c r="AT44" s="125"/>
      <c r="AU44" s="130" t="b">
        <v>0</v>
      </c>
      <c r="AV44" s="126" t="str">
        <f>IF(AU44,"OK","必須")</f>
        <v>必須</v>
      </c>
    </row>
    <row r="45" spans="1:48" ht="12.75" thickBot="1" x14ac:dyDescent="0.2">
      <c r="A45" s="125"/>
      <c r="B45" s="414"/>
      <c r="C45" s="415"/>
      <c r="D45" s="414"/>
      <c r="E45" s="473"/>
      <c r="F45" s="473"/>
      <c r="G45" s="473"/>
      <c r="H45" s="473"/>
      <c r="I45" s="415"/>
      <c r="J45" s="366"/>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431"/>
      <c r="AS45" s="432"/>
      <c r="AT45" s="125"/>
      <c r="AV45" s="126"/>
    </row>
    <row r="46" spans="1:48" ht="12.75" thickBot="1" x14ac:dyDescent="0.2">
      <c r="A46" s="125"/>
      <c r="B46" s="410" t="s">
        <v>254</v>
      </c>
      <c r="C46" s="411"/>
      <c r="D46" s="410" t="s">
        <v>276</v>
      </c>
      <c r="E46" s="470"/>
      <c r="F46" s="470"/>
      <c r="G46" s="470"/>
      <c r="H46" s="470"/>
      <c r="I46" s="411"/>
      <c r="J46" s="363" t="s">
        <v>422</v>
      </c>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431"/>
      <c r="AS46" s="432"/>
      <c r="AT46" s="125"/>
      <c r="AV46" s="126"/>
    </row>
    <row r="47" spans="1:48" ht="12.75" thickBot="1" x14ac:dyDescent="0.2">
      <c r="A47" s="125"/>
      <c r="B47" s="412"/>
      <c r="C47" s="413"/>
      <c r="D47" s="412"/>
      <c r="E47" s="472"/>
      <c r="F47" s="472"/>
      <c r="G47" s="472"/>
      <c r="H47" s="472"/>
      <c r="I47" s="413"/>
      <c r="J47" s="458"/>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31"/>
      <c r="AS47" s="432"/>
      <c r="AT47" s="125"/>
      <c r="AU47" s="130" t="b">
        <v>0</v>
      </c>
      <c r="AV47" s="126" t="str">
        <f>IF(AU47,"OK","必須")</f>
        <v>必須</v>
      </c>
    </row>
    <row r="48" spans="1:48" ht="12.75" thickBot="1" x14ac:dyDescent="0.2">
      <c r="A48" s="125"/>
      <c r="B48" s="414"/>
      <c r="C48" s="415"/>
      <c r="D48" s="414"/>
      <c r="E48" s="473"/>
      <c r="F48" s="473"/>
      <c r="G48" s="473"/>
      <c r="H48" s="473"/>
      <c r="I48" s="415"/>
      <c r="J48" s="366"/>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431"/>
      <c r="AS48" s="432"/>
      <c r="AT48" s="125"/>
      <c r="AV48" s="126"/>
    </row>
    <row r="49" spans="1:48" ht="12.75" thickBot="1" x14ac:dyDescent="0.2">
      <c r="A49" s="125"/>
      <c r="B49" s="410" t="s">
        <v>256</v>
      </c>
      <c r="C49" s="411"/>
      <c r="D49" s="410" t="s">
        <v>276</v>
      </c>
      <c r="E49" s="470"/>
      <c r="F49" s="470"/>
      <c r="G49" s="470"/>
      <c r="H49" s="470"/>
      <c r="I49" s="411"/>
      <c r="J49" s="363" t="s">
        <v>423</v>
      </c>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431"/>
      <c r="AS49" s="432"/>
      <c r="AT49" s="125"/>
    </row>
    <row r="50" spans="1:48" ht="12.75" thickBot="1" x14ac:dyDescent="0.2">
      <c r="A50" s="125"/>
      <c r="B50" s="412"/>
      <c r="C50" s="413"/>
      <c r="D50" s="412"/>
      <c r="E50" s="472"/>
      <c r="F50" s="472"/>
      <c r="G50" s="472"/>
      <c r="H50" s="472"/>
      <c r="I50" s="413"/>
      <c r="J50" s="458"/>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31"/>
      <c r="AS50" s="432"/>
      <c r="AT50" s="125"/>
    </row>
    <row r="51" spans="1:48" ht="12.75" thickBot="1" x14ac:dyDescent="0.2">
      <c r="A51" s="125"/>
      <c r="B51" s="412"/>
      <c r="C51" s="413"/>
      <c r="D51" s="412"/>
      <c r="E51" s="472"/>
      <c r="F51" s="472"/>
      <c r="G51" s="472"/>
      <c r="H51" s="472"/>
      <c r="I51" s="413"/>
      <c r="J51" s="458"/>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31"/>
      <c r="AS51" s="432"/>
      <c r="AT51" s="125"/>
      <c r="AU51" s="130" t="b">
        <v>0</v>
      </c>
      <c r="AV51" s="126" t="str">
        <f>IF(AU51,"OK","必須")</f>
        <v>必須</v>
      </c>
    </row>
    <row r="52" spans="1:48" ht="12.75" thickBot="1" x14ac:dyDescent="0.2">
      <c r="A52" s="125"/>
      <c r="B52" s="414"/>
      <c r="C52" s="415"/>
      <c r="D52" s="414"/>
      <c r="E52" s="473"/>
      <c r="F52" s="473"/>
      <c r="G52" s="473"/>
      <c r="H52" s="473"/>
      <c r="I52" s="415"/>
      <c r="J52" s="366"/>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431"/>
      <c r="AS52" s="432"/>
      <c r="AT52" s="125"/>
    </row>
    <row r="53" spans="1:48" ht="12.6" customHeight="1" thickBot="1" x14ac:dyDescent="0.2">
      <c r="A53" s="125"/>
      <c r="B53" s="410" t="s">
        <v>257</v>
      </c>
      <c r="C53" s="411"/>
      <c r="D53" s="410" t="s">
        <v>276</v>
      </c>
      <c r="E53" s="470"/>
      <c r="F53" s="470"/>
      <c r="G53" s="470"/>
      <c r="H53" s="470"/>
      <c r="I53" s="411"/>
      <c r="J53" s="363" t="s">
        <v>424</v>
      </c>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431"/>
      <c r="AS53" s="432"/>
      <c r="AT53" s="125"/>
    </row>
    <row r="54" spans="1:48" ht="12.75" thickBot="1" x14ac:dyDescent="0.2">
      <c r="A54" s="125"/>
      <c r="B54" s="412"/>
      <c r="C54" s="413"/>
      <c r="D54" s="412"/>
      <c r="E54" s="472"/>
      <c r="F54" s="472"/>
      <c r="G54" s="472"/>
      <c r="H54" s="472"/>
      <c r="I54" s="413"/>
      <c r="J54" s="458"/>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31"/>
      <c r="AS54" s="432"/>
      <c r="AT54" s="125"/>
    </row>
    <row r="55" spans="1:48" ht="12.75" thickBot="1" x14ac:dyDescent="0.2">
      <c r="A55" s="125"/>
      <c r="B55" s="412"/>
      <c r="C55" s="413"/>
      <c r="D55" s="412"/>
      <c r="E55" s="472"/>
      <c r="F55" s="472"/>
      <c r="G55" s="472"/>
      <c r="H55" s="472"/>
      <c r="I55" s="413"/>
      <c r="J55" s="458"/>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c r="AP55" s="459"/>
      <c r="AQ55" s="459"/>
      <c r="AR55" s="431"/>
      <c r="AS55" s="432"/>
      <c r="AT55" s="125"/>
      <c r="AU55" s="130" t="b">
        <v>0</v>
      </c>
      <c r="AV55" s="126" t="str">
        <f>IF(AU55,"OK","必須")</f>
        <v>必須</v>
      </c>
    </row>
    <row r="56" spans="1:48" ht="12.75" thickBot="1" x14ac:dyDescent="0.2">
      <c r="A56" s="125"/>
      <c r="B56" s="414"/>
      <c r="C56" s="415"/>
      <c r="D56" s="414"/>
      <c r="E56" s="473"/>
      <c r="F56" s="473"/>
      <c r="G56" s="473"/>
      <c r="H56" s="473"/>
      <c r="I56" s="415"/>
      <c r="J56" s="366"/>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c r="AP56" s="367"/>
      <c r="AQ56" s="367"/>
      <c r="AR56" s="431"/>
      <c r="AS56" s="432"/>
      <c r="AT56" s="125"/>
    </row>
    <row r="57" spans="1:48" ht="12.75" thickBot="1" x14ac:dyDescent="0.2">
      <c r="A57" s="125"/>
      <c r="B57" s="410" t="s">
        <v>258</v>
      </c>
      <c r="C57" s="411"/>
      <c r="D57" s="410" t="s">
        <v>280</v>
      </c>
      <c r="E57" s="470"/>
      <c r="F57" s="470"/>
      <c r="G57" s="470"/>
      <c r="H57" s="470"/>
      <c r="I57" s="411"/>
      <c r="J57" s="363" t="s">
        <v>425</v>
      </c>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431"/>
      <c r="AS57" s="432"/>
      <c r="AT57" s="125"/>
    </row>
    <row r="58" spans="1:48" ht="12.75" thickBot="1" x14ac:dyDescent="0.2">
      <c r="A58" s="125"/>
      <c r="B58" s="412"/>
      <c r="C58" s="413"/>
      <c r="D58" s="412"/>
      <c r="E58" s="472"/>
      <c r="F58" s="472"/>
      <c r="G58" s="472"/>
      <c r="H58" s="472"/>
      <c r="I58" s="413"/>
      <c r="J58" s="458"/>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31"/>
      <c r="AS58" s="432"/>
      <c r="AT58" s="125"/>
      <c r="AU58" s="130" t="b">
        <v>0</v>
      </c>
      <c r="AV58" s="126" t="str">
        <f>IF(AU58,"OK","必須")</f>
        <v>必須</v>
      </c>
    </row>
    <row r="59" spans="1:48" ht="12.75" thickBot="1" x14ac:dyDescent="0.2">
      <c r="A59" s="125"/>
      <c r="B59" s="414"/>
      <c r="C59" s="415"/>
      <c r="D59" s="414"/>
      <c r="E59" s="473"/>
      <c r="F59" s="473"/>
      <c r="G59" s="473"/>
      <c r="H59" s="473"/>
      <c r="I59" s="415"/>
      <c r="J59" s="366"/>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431"/>
      <c r="AS59" s="432"/>
      <c r="AT59" s="125"/>
    </row>
    <row r="60" spans="1:48" ht="18" customHeight="1" thickBot="1" x14ac:dyDescent="0.2">
      <c r="A60" s="125"/>
      <c r="B60" s="410" t="s">
        <v>260</v>
      </c>
      <c r="C60" s="411"/>
      <c r="D60" s="498" t="s">
        <v>281</v>
      </c>
      <c r="E60" s="499"/>
      <c r="F60" s="499"/>
      <c r="G60" s="499"/>
      <c r="H60" s="499"/>
      <c r="I60" s="500"/>
      <c r="J60" s="425" t="s">
        <v>426</v>
      </c>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31"/>
      <c r="AS60" s="432"/>
      <c r="AT60" s="125"/>
    </row>
    <row r="61" spans="1:48" ht="18" customHeight="1" thickBot="1" x14ac:dyDescent="0.2">
      <c r="A61" s="125"/>
      <c r="B61" s="412"/>
      <c r="C61" s="413"/>
      <c r="D61" s="501"/>
      <c r="E61" s="502"/>
      <c r="F61" s="502"/>
      <c r="G61" s="502"/>
      <c r="H61" s="502"/>
      <c r="I61" s="503"/>
      <c r="J61" s="427"/>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31"/>
      <c r="AS61" s="432"/>
      <c r="AT61" s="125"/>
      <c r="AU61" s="130" t="b">
        <v>0</v>
      </c>
      <c r="AV61" s="126" t="str">
        <f>IF(AU61,"OK","必須")</f>
        <v>必須</v>
      </c>
    </row>
    <row r="62" spans="1:48" ht="18" customHeight="1" thickBot="1" x14ac:dyDescent="0.2">
      <c r="A62" s="125"/>
      <c r="B62" s="412"/>
      <c r="C62" s="413"/>
      <c r="D62" s="501"/>
      <c r="E62" s="502"/>
      <c r="F62" s="502"/>
      <c r="G62" s="502"/>
      <c r="H62" s="502"/>
      <c r="I62" s="503"/>
      <c r="J62" s="427"/>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31"/>
      <c r="AS62" s="432"/>
      <c r="AT62" s="125"/>
    </row>
    <row r="63" spans="1:48" ht="18" customHeight="1" thickBot="1" x14ac:dyDescent="0.2">
      <c r="A63" s="125"/>
      <c r="B63" s="414"/>
      <c r="C63" s="415"/>
      <c r="D63" s="504"/>
      <c r="E63" s="505"/>
      <c r="F63" s="505"/>
      <c r="G63" s="505"/>
      <c r="H63" s="505"/>
      <c r="I63" s="506"/>
      <c r="J63" s="429"/>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1"/>
      <c r="AS63" s="432"/>
      <c r="AT63" s="125"/>
    </row>
    <row r="64" spans="1:48" x14ac:dyDescent="0.15">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row>
    <row r="65" spans="1:48" ht="12" customHeight="1" x14ac:dyDescent="0.15">
      <c r="A65" s="280" t="s">
        <v>267</v>
      </c>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2"/>
    </row>
    <row r="66" spans="1:48" ht="12" customHeight="1" x14ac:dyDescent="0.15">
      <c r="A66" s="283"/>
      <c r="B66" s="284"/>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5"/>
    </row>
    <row r="67" spans="1:48" x14ac:dyDescent="0.15">
      <c r="A67" s="286" t="str">
        <f>"【"&amp;製品カテゴリ&amp;"】"</f>
        <v>【AGV・AMR】</v>
      </c>
      <c r="B67" s="286"/>
      <c r="C67" s="286"/>
      <c r="D67" s="286"/>
      <c r="E67" s="286"/>
      <c r="F67" s="286"/>
      <c r="G67" s="286"/>
      <c r="H67" s="286"/>
      <c r="I67" s="286"/>
      <c r="J67" s="286"/>
      <c r="K67" s="286"/>
      <c r="L67" s="286"/>
      <c r="M67" s="286"/>
      <c r="N67" s="286"/>
      <c r="O67" s="286"/>
      <c r="P67" s="286"/>
      <c r="Q67" s="286"/>
      <c r="R67" s="286"/>
      <c r="S67" s="286"/>
      <c r="T67" s="286"/>
      <c r="U67" s="286"/>
      <c r="V67" s="286"/>
      <c r="W67" s="286"/>
      <c r="X67" s="125"/>
      <c r="Y67" s="125"/>
      <c r="Z67" s="125"/>
      <c r="AA67" s="125"/>
      <c r="AB67" s="125"/>
      <c r="AC67" s="125"/>
      <c r="AD67" s="125"/>
      <c r="AE67" s="125"/>
      <c r="AF67" s="125"/>
      <c r="AG67" s="125"/>
      <c r="AH67" s="125"/>
      <c r="AI67" s="125"/>
      <c r="AJ67" s="125"/>
      <c r="AK67" s="125"/>
      <c r="AL67" s="125"/>
      <c r="AM67" s="125"/>
      <c r="AN67" s="125"/>
      <c r="AO67" s="125"/>
      <c r="AP67" s="290" t="s">
        <v>246</v>
      </c>
      <c r="AQ67" s="290"/>
      <c r="AR67" s="290"/>
      <c r="AS67" s="290"/>
      <c r="AT67" s="290"/>
    </row>
    <row r="68" spans="1:48" x14ac:dyDescent="0.15">
      <c r="A68" s="287"/>
      <c r="B68" s="287"/>
      <c r="C68" s="287"/>
      <c r="D68" s="287"/>
      <c r="E68" s="287"/>
      <c r="F68" s="287"/>
      <c r="G68" s="287"/>
      <c r="H68" s="287"/>
      <c r="I68" s="287"/>
      <c r="J68" s="287"/>
      <c r="K68" s="287"/>
      <c r="L68" s="287"/>
      <c r="M68" s="287"/>
      <c r="N68" s="287"/>
      <c r="O68" s="287"/>
      <c r="P68" s="287"/>
      <c r="Q68" s="287"/>
      <c r="R68" s="287"/>
      <c r="S68" s="287"/>
      <c r="T68" s="287"/>
      <c r="U68" s="287"/>
      <c r="V68" s="287"/>
      <c r="W68" s="287"/>
      <c r="X68" s="125"/>
      <c r="Y68" s="125"/>
      <c r="Z68" s="125"/>
      <c r="AA68" s="125"/>
      <c r="AB68" s="125"/>
      <c r="AC68" s="125"/>
      <c r="AD68" s="125"/>
      <c r="AE68" s="125"/>
      <c r="AF68" s="125"/>
      <c r="AG68" s="125"/>
      <c r="AH68" s="125"/>
      <c r="AI68" s="125"/>
      <c r="AJ68" s="125"/>
      <c r="AK68" s="125"/>
      <c r="AL68" s="125"/>
      <c r="AM68" s="125"/>
      <c r="AN68" s="125"/>
      <c r="AO68" s="125"/>
      <c r="AP68" s="291"/>
      <c r="AQ68" s="291"/>
      <c r="AR68" s="291"/>
      <c r="AS68" s="291"/>
      <c r="AT68" s="291"/>
    </row>
    <row r="69" spans="1:48" x14ac:dyDescent="0.15">
      <c r="A69" s="125"/>
      <c r="B69" s="293" t="s">
        <v>247</v>
      </c>
      <c r="C69" s="293"/>
      <c r="D69" s="293"/>
      <c r="E69" s="293"/>
      <c r="F69" s="293"/>
      <c r="G69" s="293"/>
      <c r="H69" s="293"/>
      <c r="I69" s="293"/>
      <c r="J69" s="293"/>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row>
    <row r="70" spans="1:48" x14ac:dyDescent="0.15">
      <c r="A70" s="125"/>
      <c r="B70" s="293"/>
      <c r="C70" s="293"/>
      <c r="D70" s="293"/>
      <c r="E70" s="293"/>
      <c r="F70" s="293"/>
      <c r="G70" s="293"/>
      <c r="H70" s="293"/>
      <c r="I70" s="293"/>
      <c r="J70" s="293"/>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row>
    <row r="71" spans="1:48" x14ac:dyDescent="0.15">
      <c r="A71" s="125"/>
      <c r="B71" s="293" t="s">
        <v>248</v>
      </c>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c r="AT71" s="125"/>
    </row>
    <row r="72" spans="1:48" ht="12.75" thickBot="1" x14ac:dyDescent="0.2">
      <c r="A72" s="125"/>
      <c r="B72" s="294"/>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94"/>
      <c r="AQ72" s="294"/>
      <c r="AR72" s="293"/>
      <c r="AS72" s="293"/>
      <c r="AT72" s="125"/>
    </row>
    <row r="73" spans="1:48" ht="12" customHeight="1" thickBot="1" x14ac:dyDescent="0.2">
      <c r="A73" s="125"/>
      <c r="B73" s="410" t="s">
        <v>261</v>
      </c>
      <c r="C73" s="411"/>
      <c r="D73" s="498" t="s">
        <v>282</v>
      </c>
      <c r="E73" s="499"/>
      <c r="F73" s="499"/>
      <c r="G73" s="499"/>
      <c r="H73" s="499"/>
      <c r="I73" s="500"/>
      <c r="J73" s="363" t="s">
        <v>283</v>
      </c>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364"/>
      <c r="AK73" s="364"/>
      <c r="AL73" s="364"/>
      <c r="AM73" s="364"/>
      <c r="AN73" s="364"/>
      <c r="AO73" s="364"/>
      <c r="AP73" s="364"/>
      <c r="AQ73" s="364"/>
      <c r="AR73" s="431"/>
      <c r="AS73" s="432"/>
      <c r="AT73" s="125"/>
    </row>
    <row r="74" spans="1:48" ht="12.75" thickBot="1" x14ac:dyDescent="0.2">
      <c r="A74" s="125"/>
      <c r="B74" s="412"/>
      <c r="C74" s="413"/>
      <c r="D74" s="501"/>
      <c r="E74" s="502"/>
      <c r="F74" s="502"/>
      <c r="G74" s="502"/>
      <c r="H74" s="502"/>
      <c r="I74" s="503"/>
      <c r="J74" s="458"/>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31"/>
      <c r="AS74" s="432"/>
      <c r="AT74" s="125"/>
      <c r="AU74" s="130" t="b">
        <v>0</v>
      </c>
      <c r="AV74" s="126" t="str">
        <f>IF(AU74,"OK","必須")</f>
        <v>必須</v>
      </c>
    </row>
    <row r="75" spans="1:48" ht="12.75" thickBot="1" x14ac:dyDescent="0.2">
      <c r="A75" s="125"/>
      <c r="B75" s="414"/>
      <c r="C75" s="415"/>
      <c r="D75" s="504"/>
      <c r="E75" s="505"/>
      <c r="F75" s="505"/>
      <c r="G75" s="505"/>
      <c r="H75" s="505"/>
      <c r="I75" s="506"/>
      <c r="J75" s="366"/>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431"/>
      <c r="AS75" s="432"/>
      <c r="AT75" s="125"/>
    </row>
    <row r="76" spans="1:48" ht="12.75" thickBot="1" x14ac:dyDescent="0.2">
      <c r="A76" s="125"/>
      <c r="B76" s="410" t="s">
        <v>262</v>
      </c>
      <c r="C76" s="411"/>
      <c r="D76" s="498" t="s">
        <v>282</v>
      </c>
      <c r="E76" s="499"/>
      <c r="F76" s="499"/>
      <c r="G76" s="499"/>
      <c r="H76" s="499"/>
      <c r="I76" s="500"/>
      <c r="J76" s="425" t="s">
        <v>427</v>
      </c>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31"/>
      <c r="AS76" s="432"/>
      <c r="AT76" s="125"/>
    </row>
    <row r="77" spans="1:48" ht="12.75" thickBot="1" x14ac:dyDescent="0.2">
      <c r="A77" s="125"/>
      <c r="B77" s="412"/>
      <c r="C77" s="413"/>
      <c r="D77" s="501"/>
      <c r="E77" s="502"/>
      <c r="F77" s="502"/>
      <c r="G77" s="502"/>
      <c r="H77" s="502"/>
      <c r="I77" s="503"/>
      <c r="J77" s="427"/>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31"/>
      <c r="AS77" s="432"/>
      <c r="AT77" s="125"/>
      <c r="AU77" s="130" t="b">
        <v>0</v>
      </c>
      <c r="AV77" s="126" t="str">
        <f>IF(AU77,"OK","必須")</f>
        <v>必須</v>
      </c>
    </row>
    <row r="78" spans="1:48" ht="12.75" thickBot="1" x14ac:dyDescent="0.2">
      <c r="A78" s="125"/>
      <c r="B78" s="414"/>
      <c r="C78" s="415"/>
      <c r="D78" s="504"/>
      <c r="E78" s="505"/>
      <c r="F78" s="505"/>
      <c r="G78" s="505"/>
      <c r="H78" s="505"/>
      <c r="I78" s="506"/>
      <c r="J78" s="429"/>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1"/>
      <c r="AS78" s="432"/>
      <c r="AT78" s="125"/>
    </row>
    <row r="79" spans="1:48" ht="42.75" customHeight="1" thickBot="1" x14ac:dyDescent="0.2">
      <c r="A79" s="125"/>
      <c r="B79" s="410" t="s">
        <v>263</v>
      </c>
      <c r="C79" s="411"/>
      <c r="D79" s="498" t="s">
        <v>282</v>
      </c>
      <c r="E79" s="499"/>
      <c r="F79" s="499"/>
      <c r="G79" s="499"/>
      <c r="H79" s="499"/>
      <c r="I79" s="500"/>
      <c r="J79" s="363" t="s">
        <v>428</v>
      </c>
      <c r="K79" s="364"/>
      <c r="L79" s="364"/>
      <c r="M79" s="364"/>
      <c r="N79" s="364"/>
      <c r="O79" s="364"/>
      <c r="P79" s="364"/>
      <c r="Q79" s="364"/>
      <c r="R79" s="364"/>
      <c r="S79" s="364"/>
      <c r="T79" s="364"/>
      <c r="U79" s="364"/>
      <c r="V79" s="364"/>
      <c r="W79" s="364"/>
      <c r="X79" s="364"/>
      <c r="Y79" s="364"/>
      <c r="Z79" s="364"/>
      <c r="AA79" s="364"/>
      <c r="AB79" s="364"/>
      <c r="AC79" s="364"/>
      <c r="AD79" s="364"/>
      <c r="AE79" s="364"/>
      <c r="AF79" s="364"/>
      <c r="AG79" s="364"/>
      <c r="AH79" s="364"/>
      <c r="AI79" s="364"/>
      <c r="AJ79" s="364"/>
      <c r="AK79" s="364"/>
      <c r="AL79" s="364"/>
      <c r="AM79" s="364"/>
      <c r="AN79" s="364"/>
      <c r="AO79" s="364"/>
      <c r="AP79" s="364"/>
      <c r="AQ79" s="364"/>
      <c r="AR79" s="431"/>
      <c r="AS79" s="432"/>
      <c r="AT79" s="125"/>
    </row>
    <row r="80" spans="1:48" ht="42.75" customHeight="1" thickBot="1" x14ac:dyDescent="0.2">
      <c r="A80" s="125"/>
      <c r="B80" s="412"/>
      <c r="C80" s="413"/>
      <c r="D80" s="501"/>
      <c r="E80" s="502"/>
      <c r="F80" s="502"/>
      <c r="G80" s="502"/>
      <c r="H80" s="502"/>
      <c r="I80" s="503"/>
      <c r="J80" s="458"/>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31"/>
      <c r="AS80" s="432"/>
      <c r="AT80" s="125"/>
    </row>
    <row r="81" spans="1:48" ht="42.75" customHeight="1" thickBot="1" x14ac:dyDescent="0.2">
      <c r="A81" s="125"/>
      <c r="B81" s="412"/>
      <c r="C81" s="413"/>
      <c r="D81" s="501"/>
      <c r="E81" s="502"/>
      <c r="F81" s="502"/>
      <c r="G81" s="502"/>
      <c r="H81" s="502"/>
      <c r="I81" s="503"/>
      <c r="J81" s="458"/>
      <c r="K81" s="459"/>
      <c r="L81" s="459"/>
      <c r="M81" s="459"/>
      <c r="N81" s="459"/>
      <c r="O81" s="459"/>
      <c r="P81" s="459"/>
      <c r="Q81" s="459"/>
      <c r="R81" s="459"/>
      <c r="S81" s="459"/>
      <c r="T81" s="459"/>
      <c r="U81" s="459"/>
      <c r="V81" s="459"/>
      <c r="W81" s="459"/>
      <c r="X81" s="459"/>
      <c r="Y81" s="459"/>
      <c r="Z81" s="459"/>
      <c r="AA81" s="459"/>
      <c r="AB81" s="459"/>
      <c r="AC81" s="459"/>
      <c r="AD81" s="459"/>
      <c r="AE81" s="459"/>
      <c r="AF81" s="459"/>
      <c r="AG81" s="459"/>
      <c r="AH81" s="459"/>
      <c r="AI81" s="459"/>
      <c r="AJ81" s="459"/>
      <c r="AK81" s="459"/>
      <c r="AL81" s="459"/>
      <c r="AM81" s="459"/>
      <c r="AN81" s="459"/>
      <c r="AO81" s="459"/>
      <c r="AP81" s="459"/>
      <c r="AQ81" s="459"/>
      <c r="AR81" s="431"/>
      <c r="AS81" s="432"/>
      <c r="AT81" s="125"/>
      <c r="AU81" s="130" t="b">
        <v>0</v>
      </c>
      <c r="AV81" s="126" t="str">
        <f>IF(AU81,"OK","必須")</f>
        <v>必須</v>
      </c>
    </row>
    <row r="82" spans="1:48" ht="42.75" customHeight="1" thickBot="1" x14ac:dyDescent="0.2">
      <c r="A82" s="125"/>
      <c r="B82" s="412"/>
      <c r="C82" s="413"/>
      <c r="D82" s="501"/>
      <c r="E82" s="502"/>
      <c r="F82" s="502"/>
      <c r="G82" s="502"/>
      <c r="H82" s="502"/>
      <c r="I82" s="503"/>
      <c r="J82" s="458"/>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31"/>
      <c r="AS82" s="432"/>
      <c r="AT82" s="125"/>
    </row>
    <row r="83" spans="1:48" ht="42.75" customHeight="1" thickBot="1" x14ac:dyDescent="0.2">
      <c r="A83" s="125"/>
      <c r="B83" s="414"/>
      <c r="C83" s="415"/>
      <c r="D83" s="504"/>
      <c r="E83" s="505"/>
      <c r="F83" s="505"/>
      <c r="G83" s="505"/>
      <c r="H83" s="505"/>
      <c r="I83" s="506"/>
      <c r="J83" s="366"/>
      <c r="K83" s="367"/>
      <c r="L83" s="367"/>
      <c r="M83" s="367"/>
      <c r="N83" s="367"/>
      <c r="O83" s="367"/>
      <c r="P83" s="367"/>
      <c r="Q83" s="367"/>
      <c r="R83" s="367"/>
      <c r="S83" s="367"/>
      <c r="T83" s="367"/>
      <c r="U83" s="367"/>
      <c r="V83" s="367"/>
      <c r="W83" s="367"/>
      <c r="X83" s="367"/>
      <c r="Y83" s="367"/>
      <c r="Z83" s="367"/>
      <c r="AA83" s="367"/>
      <c r="AB83" s="367"/>
      <c r="AC83" s="367"/>
      <c r="AD83" s="367"/>
      <c r="AE83" s="367"/>
      <c r="AF83" s="367"/>
      <c r="AG83" s="367"/>
      <c r="AH83" s="367"/>
      <c r="AI83" s="367"/>
      <c r="AJ83" s="367"/>
      <c r="AK83" s="367"/>
      <c r="AL83" s="367"/>
      <c r="AM83" s="367"/>
      <c r="AN83" s="367"/>
      <c r="AO83" s="367"/>
      <c r="AP83" s="367"/>
      <c r="AQ83" s="367"/>
      <c r="AR83" s="431"/>
      <c r="AS83" s="432"/>
      <c r="AT83" s="125"/>
    </row>
    <row r="84" spans="1:48" ht="12" customHeight="1" thickBot="1" x14ac:dyDescent="0.2">
      <c r="A84" s="125"/>
      <c r="B84" s="410" t="s">
        <v>264</v>
      </c>
      <c r="C84" s="411"/>
      <c r="D84" s="498" t="s">
        <v>282</v>
      </c>
      <c r="E84" s="499"/>
      <c r="F84" s="499"/>
      <c r="G84" s="499"/>
      <c r="H84" s="499"/>
      <c r="I84" s="500"/>
      <c r="J84" s="363" t="s">
        <v>429</v>
      </c>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431"/>
      <c r="AS84" s="432"/>
      <c r="AT84" s="125"/>
    </row>
    <row r="85" spans="1:48" ht="12" customHeight="1" thickBot="1" x14ac:dyDescent="0.2">
      <c r="A85" s="125"/>
      <c r="B85" s="412"/>
      <c r="C85" s="413"/>
      <c r="D85" s="501"/>
      <c r="E85" s="502"/>
      <c r="F85" s="502"/>
      <c r="G85" s="502"/>
      <c r="H85" s="502"/>
      <c r="I85" s="503"/>
      <c r="J85" s="458"/>
      <c r="K85" s="459"/>
      <c r="L85" s="459"/>
      <c r="M85" s="459"/>
      <c r="N85" s="459"/>
      <c r="O85" s="459"/>
      <c r="P85" s="459"/>
      <c r="Q85" s="459"/>
      <c r="R85" s="459"/>
      <c r="S85" s="459"/>
      <c r="T85" s="459"/>
      <c r="U85" s="459"/>
      <c r="V85" s="459"/>
      <c r="W85" s="459"/>
      <c r="X85" s="459"/>
      <c r="Y85" s="459"/>
      <c r="Z85" s="459"/>
      <c r="AA85" s="459"/>
      <c r="AB85" s="459"/>
      <c r="AC85" s="459"/>
      <c r="AD85" s="459"/>
      <c r="AE85" s="459"/>
      <c r="AF85" s="459"/>
      <c r="AG85" s="459"/>
      <c r="AH85" s="459"/>
      <c r="AI85" s="459"/>
      <c r="AJ85" s="459"/>
      <c r="AK85" s="459"/>
      <c r="AL85" s="459"/>
      <c r="AM85" s="459"/>
      <c r="AN85" s="459"/>
      <c r="AO85" s="459"/>
      <c r="AP85" s="459"/>
      <c r="AQ85" s="459"/>
      <c r="AR85" s="431"/>
      <c r="AS85" s="432"/>
      <c r="AT85" s="125"/>
    </row>
    <row r="86" spans="1:48" ht="12" customHeight="1" thickBot="1" x14ac:dyDescent="0.2">
      <c r="A86" s="125"/>
      <c r="B86" s="412"/>
      <c r="C86" s="413"/>
      <c r="D86" s="501"/>
      <c r="E86" s="502"/>
      <c r="F86" s="502"/>
      <c r="G86" s="502"/>
      <c r="H86" s="502"/>
      <c r="I86" s="503"/>
      <c r="J86" s="458"/>
      <c r="K86" s="459"/>
      <c r="L86" s="459"/>
      <c r="M86" s="459"/>
      <c r="N86" s="459"/>
      <c r="O86" s="459"/>
      <c r="P86" s="459"/>
      <c r="Q86" s="459"/>
      <c r="R86" s="459"/>
      <c r="S86" s="459"/>
      <c r="T86" s="459"/>
      <c r="U86" s="459"/>
      <c r="V86" s="459"/>
      <c r="W86" s="459"/>
      <c r="X86" s="459"/>
      <c r="Y86" s="459"/>
      <c r="Z86" s="459"/>
      <c r="AA86" s="459"/>
      <c r="AB86" s="459"/>
      <c r="AC86" s="459"/>
      <c r="AD86" s="459"/>
      <c r="AE86" s="459"/>
      <c r="AF86" s="459"/>
      <c r="AG86" s="459"/>
      <c r="AH86" s="459"/>
      <c r="AI86" s="459"/>
      <c r="AJ86" s="459"/>
      <c r="AK86" s="459"/>
      <c r="AL86" s="459"/>
      <c r="AM86" s="459"/>
      <c r="AN86" s="459"/>
      <c r="AO86" s="459"/>
      <c r="AP86" s="459"/>
      <c r="AQ86" s="459"/>
      <c r="AR86" s="431"/>
      <c r="AS86" s="432"/>
      <c r="AT86" s="125"/>
      <c r="AU86" s="130" t="b">
        <v>0</v>
      </c>
      <c r="AV86" s="126" t="str">
        <f>IF(AU86,"OK","必須")</f>
        <v>必須</v>
      </c>
    </row>
    <row r="87" spans="1:48" ht="12.75" thickBot="1" x14ac:dyDescent="0.2">
      <c r="A87" s="125"/>
      <c r="B87" s="412"/>
      <c r="C87" s="413"/>
      <c r="D87" s="501"/>
      <c r="E87" s="502"/>
      <c r="F87" s="502"/>
      <c r="G87" s="502"/>
      <c r="H87" s="502"/>
      <c r="I87" s="503"/>
      <c r="J87" s="458"/>
      <c r="K87" s="459"/>
      <c r="L87" s="459"/>
      <c r="M87" s="459"/>
      <c r="N87" s="459"/>
      <c r="O87" s="459"/>
      <c r="P87" s="459"/>
      <c r="Q87" s="459"/>
      <c r="R87" s="459"/>
      <c r="S87" s="459"/>
      <c r="T87" s="459"/>
      <c r="U87" s="459"/>
      <c r="V87" s="459"/>
      <c r="W87" s="459"/>
      <c r="X87" s="459"/>
      <c r="Y87" s="459"/>
      <c r="Z87" s="459"/>
      <c r="AA87" s="459"/>
      <c r="AB87" s="459"/>
      <c r="AC87" s="459"/>
      <c r="AD87" s="459"/>
      <c r="AE87" s="459"/>
      <c r="AF87" s="459"/>
      <c r="AG87" s="459"/>
      <c r="AH87" s="459"/>
      <c r="AI87" s="459"/>
      <c r="AJ87" s="459"/>
      <c r="AK87" s="459"/>
      <c r="AL87" s="459"/>
      <c r="AM87" s="459"/>
      <c r="AN87" s="459"/>
      <c r="AO87" s="459"/>
      <c r="AP87" s="459"/>
      <c r="AQ87" s="459"/>
      <c r="AR87" s="431"/>
      <c r="AS87" s="432"/>
      <c r="AT87" s="125"/>
    </row>
    <row r="88" spans="1:48" ht="12.75" thickBot="1" x14ac:dyDescent="0.2">
      <c r="A88" s="125"/>
      <c r="B88" s="414"/>
      <c r="C88" s="415"/>
      <c r="D88" s="504"/>
      <c r="E88" s="505"/>
      <c r="F88" s="505"/>
      <c r="G88" s="505"/>
      <c r="H88" s="505"/>
      <c r="I88" s="506"/>
      <c r="J88" s="366"/>
      <c r="K88" s="367"/>
      <c r="L88" s="367"/>
      <c r="M88" s="367"/>
      <c r="N88" s="367"/>
      <c r="O88" s="367"/>
      <c r="P88" s="367"/>
      <c r="Q88" s="367"/>
      <c r="R88" s="367"/>
      <c r="S88" s="367"/>
      <c r="T88" s="367"/>
      <c r="U88" s="367"/>
      <c r="V88" s="367"/>
      <c r="W88" s="367"/>
      <c r="X88" s="367"/>
      <c r="Y88" s="367"/>
      <c r="Z88" s="367"/>
      <c r="AA88" s="367"/>
      <c r="AB88" s="367"/>
      <c r="AC88" s="367"/>
      <c r="AD88" s="367"/>
      <c r="AE88" s="367"/>
      <c r="AF88" s="367"/>
      <c r="AG88" s="367"/>
      <c r="AH88" s="367"/>
      <c r="AI88" s="367"/>
      <c r="AJ88" s="367"/>
      <c r="AK88" s="367"/>
      <c r="AL88" s="367"/>
      <c r="AM88" s="367"/>
      <c r="AN88" s="367"/>
      <c r="AO88" s="367"/>
      <c r="AP88" s="367"/>
      <c r="AQ88" s="367"/>
      <c r="AR88" s="431"/>
      <c r="AS88" s="432"/>
      <c r="AT88" s="125"/>
    </row>
    <row r="89" spans="1:48" ht="12" customHeight="1" thickBot="1" x14ac:dyDescent="0.2">
      <c r="A89" s="125"/>
      <c r="B89" s="410" t="s">
        <v>265</v>
      </c>
      <c r="C89" s="411"/>
      <c r="D89" s="498" t="s">
        <v>282</v>
      </c>
      <c r="E89" s="499"/>
      <c r="F89" s="499"/>
      <c r="G89" s="499"/>
      <c r="H89" s="499"/>
      <c r="I89" s="500"/>
      <c r="J89" s="363" t="s">
        <v>284</v>
      </c>
      <c r="K89" s="364"/>
      <c r="L89" s="364"/>
      <c r="M89" s="364"/>
      <c r="N89" s="364"/>
      <c r="O89" s="364"/>
      <c r="P89" s="364"/>
      <c r="Q89" s="364"/>
      <c r="R89" s="364"/>
      <c r="S89" s="364"/>
      <c r="T89" s="364"/>
      <c r="U89" s="364"/>
      <c r="V89" s="364"/>
      <c r="W89" s="364"/>
      <c r="X89" s="364"/>
      <c r="Y89" s="364"/>
      <c r="Z89" s="364"/>
      <c r="AA89" s="364"/>
      <c r="AB89" s="364"/>
      <c r="AC89" s="364"/>
      <c r="AD89" s="364"/>
      <c r="AE89" s="364"/>
      <c r="AF89" s="364"/>
      <c r="AG89" s="364"/>
      <c r="AH89" s="364"/>
      <c r="AI89" s="364"/>
      <c r="AJ89" s="364"/>
      <c r="AK89" s="364"/>
      <c r="AL89" s="364"/>
      <c r="AM89" s="364"/>
      <c r="AN89" s="364"/>
      <c r="AO89" s="364"/>
      <c r="AP89" s="364"/>
      <c r="AQ89" s="364"/>
      <c r="AR89" s="431"/>
      <c r="AS89" s="432"/>
      <c r="AT89" s="125"/>
    </row>
    <row r="90" spans="1:48" ht="12" customHeight="1" thickBot="1" x14ac:dyDescent="0.2">
      <c r="A90" s="125"/>
      <c r="B90" s="412"/>
      <c r="C90" s="413"/>
      <c r="D90" s="501"/>
      <c r="E90" s="502"/>
      <c r="F90" s="502"/>
      <c r="G90" s="502"/>
      <c r="H90" s="502"/>
      <c r="I90" s="503"/>
      <c r="J90" s="458"/>
      <c r="K90" s="459"/>
      <c r="L90" s="459"/>
      <c r="M90" s="459"/>
      <c r="N90" s="459"/>
      <c r="O90" s="459"/>
      <c r="P90" s="459"/>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31"/>
      <c r="AS90" s="432"/>
      <c r="AT90" s="125"/>
    </row>
    <row r="91" spans="1:48" ht="12" customHeight="1" thickBot="1" x14ac:dyDescent="0.2">
      <c r="A91" s="125"/>
      <c r="B91" s="412"/>
      <c r="C91" s="413"/>
      <c r="D91" s="501"/>
      <c r="E91" s="502"/>
      <c r="F91" s="502"/>
      <c r="G91" s="502"/>
      <c r="H91" s="502"/>
      <c r="I91" s="503"/>
      <c r="J91" s="458"/>
      <c r="K91" s="459"/>
      <c r="L91" s="459"/>
      <c r="M91" s="459"/>
      <c r="N91" s="459"/>
      <c r="O91" s="459"/>
      <c r="P91" s="459"/>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31"/>
      <c r="AS91" s="432"/>
      <c r="AT91" s="125"/>
      <c r="AU91" s="130" t="b">
        <v>0</v>
      </c>
      <c r="AV91" s="126" t="str">
        <f>IF(AU91,"OK","必須")</f>
        <v>必須</v>
      </c>
    </row>
    <row r="92" spans="1:48" ht="12.75" thickBot="1" x14ac:dyDescent="0.2">
      <c r="A92" s="125"/>
      <c r="B92" s="412"/>
      <c r="C92" s="413"/>
      <c r="D92" s="501"/>
      <c r="E92" s="502"/>
      <c r="F92" s="502"/>
      <c r="G92" s="502"/>
      <c r="H92" s="502"/>
      <c r="I92" s="503"/>
      <c r="J92" s="458"/>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31"/>
      <c r="AS92" s="432"/>
      <c r="AT92" s="125"/>
    </row>
    <row r="93" spans="1:48" ht="12.75" thickBot="1" x14ac:dyDescent="0.2">
      <c r="A93" s="125"/>
      <c r="B93" s="414"/>
      <c r="C93" s="415"/>
      <c r="D93" s="504"/>
      <c r="E93" s="505"/>
      <c r="F93" s="505"/>
      <c r="G93" s="505"/>
      <c r="H93" s="505"/>
      <c r="I93" s="506"/>
      <c r="J93" s="366"/>
      <c r="K93" s="367"/>
      <c r="L93" s="367"/>
      <c r="M93" s="367"/>
      <c r="N93" s="367"/>
      <c r="O93" s="367"/>
      <c r="P93" s="367"/>
      <c r="Q93" s="367"/>
      <c r="R93" s="367"/>
      <c r="S93" s="367"/>
      <c r="T93" s="367"/>
      <c r="U93" s="367"/>
      <c r="V93" s="367"/>
      <c r="W93" s="367"/>
      <c r="X93" s="367"/>
      <c r="Y93" s="367"/>
      <c r="Z93" s="367"/>
      <c r="AA93" s="367"/>
      <c r="AB93" s="367"/>
      <c r="AC93" s="367"/>
      <c r="AD93" s="367"/>
      <c r="AE93" s="367"/>
      <c r="AF93" s="367"/>
      <c r="AG93" s="367"/>
      <c r="AH93" s="367"/>
      <c r="AI93" s="367"/>
      <c r="AJ93" s="367"/>
      <c r="AK93" s="367"/>
      <c r="AL93" s="367"/>
      <c r="AM93" s="367"/>
      <c r="AN93" s="367"/>
      <c r="AO93" s="367"/>
      <c r="AP93" s="367"/>
      <c r="AQ93" s="367"/>
      <c r="AR93" s="431"/>
      <c r="AS93" s="432"/>
      <c r="AT93" s="125"/>
    </row>
    <row r="94" spans="1:48" ht="12.6" customHeight="1" thickBot="1" x14ac:dyDescent="0.2">
      <c r="A94" s="125"/>
      <c r="B94" s="410" t="s">
        <v>266</v>
      </c>
      <c r="C94" s="411"/>
      <c r="D94" s="498" t="s">
        <v>282</v>
      </c>
      <c r="E94" s="499"/>
      <c r="F94" s="499"/>
      <c r="G94" s="499"/>
      <c r="H94" s="499"/>
      <c r="I94" s="500"/>
      <c r="J94" s="425" t="s">
        <v>430</v>
      </c>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31"/>
      <c r="AS94" s="432"/>
      <c r="AT94" s="125"/>
    </row>
    <row r="95" spans="1:48" ht="12.75" thickBot="1" x14ac:dyDescent="0.2">
      <c r="A95" s="125"/>
      <c r="B95" s="412"/>
      <c r="C95" s="413"/>
      <c r="D95" s="501"/>
      <c r="E95" s="502"/>
      <c r="F95" s="502"/>
      <c r="G95" s="502"/>
      <c r="H95" s="502"/>
      <c r="I95" s="503"/>
      <c r="J95" s="427"/>
      <c r="K95" s="428"/>
      <c r="L95" s="428"/>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31"/>
      <c r="AS95" s="432"/>
      <c r="AT95" s="125"/>
      <c r="AU95" s="130" t="b">
        <v>0</v>
      </c>
      <c r="AV95" s="126" t="str">
        <f>IF(AU95,"OK","必須")</f>
        <v>必須</v>
      </c>
    </row>
    <row r="96" spans="1:48" ht="12.75" thickBot="1" x14ac:dyDescent="0.2">
      <c r="A96" s="125"/>
      <c r="B96" s="412"/>
      <c r="C96" s="413"/>
      <c r="D96" s="501"/>
      <c r="E96" s="502"/>
      <c r="F96" s="502"/>
      <c r="G96" s="502"/>
      <c r="H96" s="502"/>
      <c r="I96" s="503"/>
      <c r="J96" s="427"/>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31"/>
      <c r="AS96" s="432"/>
      <c r="AT96" s="125"/>
    </row>
    <row r="97" spans="1:58" ht="12.75" thickBot="1" x14ac:dyDescent="0.2">
      <c r="A97" s="125"/>
      <c r="B97" s="414"/>
      <c r="C97" s="415"/>
      <c r="D97" s="504"/>
      <c r="E97" s="505"/>
      <c r="F97" s="505"/>
      <c r="G97" s="505"/>
      <c r="H97" s="505"/>
      <c r="I97" s="506"/>
      <c r="J97" s="429"/>
      <c r="K97" s="430"/>
      <c r="L97" s="430"/>
      <c r="M97" s="430"/>
      <c r="N97" s="430"/>
      <c r="O97" s="430"/>
      <c r="P97" s="430"/>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0"/>
      <c r="AO97" s="430"/>
      <c r="AP97" s="430"/>
      <c r="AQ97" s="430"/>
      <c r="AR97" s="431"/>
      <c r="AS97" s="432"/>
      <c r="AT97" s="125"/>
    </row>
    <row r="98" spans="1:58" ht="12.75" thickBot="1" x14ac:dyDescent="0.2">
      <c r="A98" s="125"/>
      <c r="B98" s="410" t="s">
        <v>285</v>
      </c>
      <c r="C98" s="411"/>
      <c r="D98" s="498" t="s">
        <v>282</v>
      </c>
      <c r="E98" s="499"/>
      <c r="F98" s="499"/>
      <c r="G98" s="499"/>
      <c r="H98" s="499"/>
      <c r="I98" s="500"/>
      <c r="J98" s="363" t="s">
        <v>431</v>
      </c>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c r="AP98" s="364"/>
      <c r="AQ98" s="364"/>
      <c r="AR98" s="431"/>
      <c r="AS98" s="432"/>
      <c r="AT98" s="125"/>
      <c r="AW98" s="125"/>
      <c r="AX98" s="125"/>
      <c r="AY98" s="125"/>
      <c r="AZ98" s="125"/>
      <c r="BA98" s="125"/>
      <c r="BB98" s="125"/>
      <c r="BC98" s="125"/>
      <c r="BD98" s="125"/>
      <c r="BE98" s="125"/>
      <c r="BF98" s="125"/>
    </row>
    <row r="99" spans="1:58" ht="12.75" thickBot="1" x14ac:dyDescent="0.2">
      <c r="A99" s="125"/>
      <c r="B99" s="412"/>
      <c r="C99" s="413"/>
      <c r="D99" s="501"/>
      <c r="E99" s="502"/>
      <c r="F99" s="502"/>
      <c r="G99" s="502"/>
      <c r="H99" s="502"/>
      <c r="I99" s="503"/>
      <c r="J99" s="458"/>
      <c r="K99" s="459"/>
      <c r="L99" s="459"/>
      <c r="M99" s="459"/>
      <c r="N99" s="459"/>
      <c r="O99" s="459"/>
      <c r="P99" s="459"/>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31"/>
      <c r="AS99" s="432"/>
      <c r="AT99" s="125"/>
      <c r="AW99" s="125"/>
      <c r="AX99" s="125"/>
      <c r="AY99" s="125"/>
      <c r="AZ99" s="125"/>
      <c r="BA99" s="125"/>
      <c r="BB99" s="125"/>
      <c r="BC99" s="125"/>
      <c r="BD99" s="125"/>
      <c r="BE99" s="125"/>
      <c r="BF99" s="125"/>
    </row>
    <row r="100" spans="1:58" ht="12.75" thickBot="1" x14ac:dyDescent="0.2">
      <c r="A100" s="125"/>
      <c r="B100" s="412"/>
      <c r="C100" s="413"/>
      <c r="D100" s="501"/>
      <c r="E100" s="502"/>
      <c r="F100" s="502"/>
      <c r="G100" s="502"/>
      <c r="H100" s="502"/>
      <c r="I100" s="503"/>
      <c r="J100" s="458"/>
      <c r="K100" s="459"/>
      <c r="L100" s="459"/>
      <c r="M100" s="459"/>
      <c r="N100" s="459"/>
      <c r="O100" s="459"/>
      <c r="P100" s="459"/>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31"/>
      <c r="AS100" s="432"/>
      <c r="AT100" s="125"/>
      <c r="AU100" s="130" t="b">
        <v>0</v>
      </c>
      <c r="AV100" s="126" t="str">
        <f>IF(AU100,"OK","必須")</f>
        <v>必須</v>
      </c>
      <c r="AW100" s="125"/>
      <c r="AX100" s="125"/>
      <c r="AY100" s="125"/>
      <c r="AZ100" s="125"/>
      <c r="BA100" s="125"/>
      <c r="BB100" s="125"/>
      <c r="BC100" s="125"/>
      <c r="BD100" s="125"/>
      <c r="BE100" s="125"/>
      <c r="BF100" s="125"/>
    </row>
    <row r="101" spans="1:58" ht="12.75" thickBot="1" x14ac:dyDescent="0.2">
      <c r="A101" s="125"/>
      <c r="B101" s="412"/>
      <c r="C101" s="413"/>
      <c r="D101" s="501"/>
      <c r="E101" s="502"/>
      <c r="F101" s="502"/>
      <c r="G101" s="502"/>
      <c r="H101" s="502"/>
      <c r="I101" s="503"/>
      <c r="J101" s="458"/>
      <c r="K101" s="459"/>
      <c r="L101" s="459"/>
      <c r="M101" s="459"/>
      <c r="N101" s="459"/>
      <c r="O101" s="459"/>
      <c r="P101" s="459"/>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31"/>
      <c r="AS101" s="432"/>
      <c r="AT101" s="125"/>
      <c r="AW101" s="125"/>
      <c r="AX101" s="125"/>
      <c r="AY101" s="125"/>
      <c r="AZ101" s="125"/>
      <c r="BA101" s="125"/>
      <c r="BB101" s="125"/>
      <c r="BC101" s="125"/>
      <c r="BD101" s="125"/>
      <c r="BE101" s="125"/>
      <c r="BF101" s="125"/>
    </row>
    <row r="102" spans="1:58" ht="12.75" thickBot="1" x14ac:dyDescent="0.2">
      <c r="A102" s="125"/>
      <c r="B102" s="414"/>
      <c r="C102" s="415"/>
      <c r="D102" s="504"/>
      <c r="E102" s="505"/>
      <c r="F102" s="505"/>
      <c r="G102" s="505"/>
      <c r="H102" s="505"/>
      <c r="I102" s="506"/>
      <c r="J102" s="366"/>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7"/>
      <c r="AG102" s="367"/>
      <c r="AH102" s="367"/>
      <c r="AI102" s="367"/>
      <c r="AJ102" s="367"/>
      <c r="AK102" s="367"/>
      <c r="AL102" s="367"/>
      <c r="AM102" s="367"/>
      <c r="AN102" s="367"/>
      <c r="AO102" s="367"/>
      <c r="AP102" s="367"/>
      <c r="AQ102" s="367"/>
      <c r="AR102" s="431"/>
      <c r="AS102" s="432"/>
      <c r="AT102" s="125"/>
      <c r="AW102" s="125"/>
      <c r="AX102" s="125"/>
      <c r="AY102" s="125"/>
      <c r="AZ102" s="125"/>
      <c r="BA102" s="125"/>
      <c r="BB102" s="125"/>
      <c r="BC102" s="125"/>
      <c r="BD102" s="125"/>
      <c r="BE102" s="125"/>
      <c r="BF102" s="125"/>
    </row>
    <row r="103" spans="1:58" ht="18" customHeight="1" thickBot="1" x14ac:dyDescent="0.2">
      <c r="A103" s="125"/>
      <c r="B103" s="410" t="s">
        <v>286</v>
      </c>
      <c r="C103" s="411"/>
      <c r="D103" s="498" t="s">
        <v>282</v>
      </c>
      <c r="E103" s="499"/>
      <c r="F103" s="499"/>
      <c r="G103" s="499"/>
      <c r="H103" s="499"/>
      <c r="I103" s="500"/>
      <c r="J103" s="425" t="s">
        <v>432</v>
      </c>
      <c r="K103" s="426"/>
      <c r="L103" s="426"/>
      <c r="M103" s="426"/>
      <c r="N103" s="426"/>
      <c r="O103" s="426"/>
      <c r="P103" s="426"/>
      <c r="Q103" s="426"/>
      <c r="R103" s="426"/>
      <c r="S103" s="426"/>
      <c r="T103" s="426"/>
      <c r="U103" s="426"/>
      <c r="V103" s="426"/>
      <c r="W103" s="426"/>
      <c r="X103" s="426"/>
      <c r="Y103" s="426"/>
      <c r="Z103" s="426"/>
      <c r="AA103" s="426"/>
      <c r="AB103" s="426"/>
      <c r="AC103" s="426"/>
      <c r="AD103" s="426"/>
      <c r="AE103" s="426"/>
      <c r="AF103" s="426"/>
      <c r="AG103" s="426"/>
      <c r="AH103" s="426"/>
      <c r="AI103" s="426"/>
      <c r="AJ103" s="426"/>
      <c r="AK103" s="426"/>
      <c r="AL103" s="426"/>
      <c r="AM103" s="426"/>
      <c r="AN103" s="426"/>
      <c r="AO103" s="426"/>
      <c r="AP103" s="426"/>
      <c r="AQ103" s="426"/>
      <c r="AR103" s="431"/>
      <c r="AS103" s="432"/>
      <c r="AT103" s="125"/>
      <c r="AW103" s="125"/>
      <c r="AX103" s="125"/>
      <c r="AY103" s="125"/>
      <c r="AZ103" s="125"/>
      <c r="BA103" s="125"/>
      <c r="BB103" s="125"/>
      <c r="BC103" s="125"/>
      <c r="BD103" s="125"/>
      <c r="BE103" s="125"/>
      <c r="BF103" s="125"/>
    </row>
    <row r="104" spans="1:58" ht="18" customHeight="1" thickBot="1" x14ac:dyDescent="0.2">
      <c r="A104" s="125"/>
      <c r="B104" s="412"/>
      <c r="C104" s="413"/>
      <c r="D104" s="501"/>
      <c r="E104" s="502"/>
      <c r="F104" s="502"/>
      <c r="G104" s="502"/>
      <c r="H104" s="502"/>
      <c r="I104" s="503"/>
      <c r="J104" s="427"/>
      <c r="K104" s="428"/>
      <c r="L104" s="428"/>
      <c r="M104" s="428"/>
      <c r="N104" s="428"/>
      <c r="O104" s="428"/>
      <c r="P104" s="428"/>
      <c r="Q104" s="428"/>
      <c r="R104" s="428"/>
      <c r="S104" s="428"/>
      <c r="T104" s="428"/>
      <c r="U104" s="428"/>
      <c r="V104" s="428"/>
      <c r="W104" s="428"/>
      <c r="X104" s="428"/>
      <c r="Y104" s="428"/>
      <c r="Z104" s="428"/>
      <c r="AA104" s="428"/>
      <c r="AB104" s="428"/>
      <c r="AC104" s="428"/>
      <c r="AD104" s="428"/>
      <c r="AE104" s="428"/>
      <c r="AF104" s="428"/>
      <c r="AG104" s="428"/>
      <c r="AH104" s="428"/>
      <c r="AI104" s="428"/>
      <c r="AJ104" s="428"/>
      <c r="AK104" s="428"/>
      <c r="AL104" s="428"/>
      <c r="AM104" s="428"/>
      <c r="AN104" s="428"/>
      <c r="AO104" s="428"/>
      <c r="AP104" s="428"/>
      <c r="AQ104" s="428"/>
      <c r="AR104" s="431"/>
      <c r="AS104" s="432"/>
      <c r="AT104" s="125"/>
      <c r="AU104" s="130" t="b">
        <v>0</v>
      </c>
      <c r="AV104" s="126" t="str">
        <f>IF(AU104,"OK","必須")</f>
        <v>必須</v>
      </c>
      <c r="AW104" s="125"/>
      <c r="AX104" s="125"/>
      <c r="AY104" s="125"/>
      <c r="AZ104" s="125"/>
      <c r="BA104" s="125"/>
      <c r="BB104" s="125"/>
      <c r="BC104" s="125"/>
      <c r="BD104" s="125"/>
      <c r="BE104" s="125"/>
      <c r="BF104" s="125"/>
    </row>
    <row r="105" spans="1:58" ht="18" customHeight="1" thickBot="1" x14ac:dyDescent="0.2">
      <c r="A105" s="125"/>
      <c r="B105" s="414"/>
      <c r="C105" s="415"/>
      <c r="D105" s="504"/>
      <c r="E105" s="505"/>
      <c r="F105" s="505"/>
      <c r="G105" s="505"/>
      <c r="H105" s="505"/>
      <c r="I105" s="506"/>
      <c r="J105" s="429"/>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1"/>
      <c r="AS105" s="432"/>
      <c r="AT105" s="125"/>
      <c r="AW105" s="125"/>
      <c r="AX105" s="125"/>
      <c r="AY105" s="125"/>
      <c r="AZ105" s="125"/>
      <c r="BA105" s="125"/>
      <c r="BB105" s="125"/>
      <c r="BC105" s="125"/>
      <c r="BD105" s="125"/>
      <c r="BE105" s="125"/>
      <c r="BF105" s="125"/>
    </row>
    <row r="106" spans="1:58" ht="15" customHeight="1" thickBot="1" x14ac:dyDescent="0.2">
      <c r="A106" s="125"/>
      <c r="B106" s="410" t="s">
        <v>395</v>
      </c>
      <c r="C106" s="411"/>
      <c r="D106" s="498" t="s">
        <v>282</v>
      </c>
      <c r="E106" s="499"/>
      <c r="F106" s="499"/>
      <c r="G106" s="499"/>
      <c r="H106" s="499"/>
      <c r="I106" s="500"/>
      <c r="J106" s="363" t="s">
        <v>433</v>
      </c>
      <c r="K106" s="364"/>
      <c r="L106" s="364"/>
      <c r="M106" s="364"/>
      <c r="N106" s="364"/>
      <c r="O106" s="364"/>
      <c r="P106" s="364"/>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4"/>
      <c r="AM106" s="364"/>
      <c r="AN106" s="364"/>
      <c r="AO106" s="364"/>
      <c r="AP106" s="364"/>
      <c r="AQ106" s="364"/>
      <c r="AR106" s="431"/>
      <c r="AS106" s="432"/>
      <c r="AT106" s="125"/>
      <c r="AW106" s="125"/>
      <c r="AX106" s="125"/>
      <c r="AY106" s="125"/>
      <c r="AZ106" s="125"/>
      <c r="BA106" s="125"/>
      <c r="BB106" s="125"/>
      <c r="BC106" s="125"/>
      <c r="BD106" s="125"/>
      <c r="BE106" s="125"/>
      <c r="BF106" s="125"/>
    </row>
    <row r="107" spans="1:58" ht="15" customHeight="1" thickBot="1" x14ac:dyDescent="0.2">
      <c r="A107" s="125"/>
      <c r="B107" s="412"/>
      <c r="C107" s="413"/>
      <c r="D107" s="501"/>
      <c r="E107" s="502"/>
      <c r="F107" s="502"/>
      <c r="G107" s="502"/>
      <c r="H107" s="502"/>
      <c r="I107" s="503"/>
      <c r="J107" s="458"/>
      <c r="K107" s="459"/>
      <c r="L107" s="459"/>
      <c r="M107" s="459"/>
      <c r="N107" s="459"/>
      <c r="O107" s="459"/>
      <c r="P107" s="459"/>
      <c r="Q107" s="459"/>
      <c r="R107" s="459"/>
      <c r="S107" s="459"/>
      <c r="T107" s="459"/>
      <c r="U107" s="459"/>
      <c r="V107" s="459"/>
      <c r="W107" s="459"/>
      <c r="X107" s="459"/>
      <c r="Y107" s="459"/>
      <c r="Z107" s="459"/>
      <c r="AA107" s="459"/>
      <c r="AB107" s="459"/>
      <c r="AC107" s="459"/>
      <c r="AD107" s="459"/>
      <c r="AE107" s="459"/>
      <c r="AF107" s="459"/>
      <c r="AG107" s="459"/>
      <c r="AH107" s="459"/>
      <c r="AI107" s="459"/>
      <c r="AJ107" s="459"/>
      <c r="AK107" s="459"/>
      <c r="AL107" s="459"/>
      <c r="AM107" s="459"/>
      <c r="AN107" s="459"/>
      <c r="AO107" s="459"/>
      <c r="AP107" s="459"/>
      <c r="AQ107" s="459"/>
      <c r="AR107" s="431"/>
      <c r="AS107" s="432"/>
      <c r="AT107" s="125"/>
      <c r="AU107" s="130" t="b">
        <v>0</v>
      </c>
      <c r="AV107" s="126" t="str">
        <f>IF(AU107,"OK","必須")</f>
        <v>必須</v>
      </c>
      <c r="AW107" s="125"/>
      <c r="AX107" s="125"/>
      <c r="AY107" s="125"/>
      <c r="AZ107" s="125"/>
      <c r="BA107" s="125"/>
      <c r="BB107" s="125"/>
      <c r="BC107" s="125"/>
      <c r="BD107" s="125"/>
      <c r="BE107" s="125"/>
      <c r="BF107" s="125"/>
    </row>
    <row r="108" spans="1:58" ht="15" customHeight="1" thickBot="1" x14ac:dyDescent="0.2">
      <c r="A108" s="125"/>
      <c r="B108" s="414"/>
      <c r="C108" s="415"/>
      <c r="D108" s="504"/>
      <c r="E108" s="505"/>
      <c r="F108" s="505"/>
      <c r="G108" s="505"/>
      <c r="H108" s="505"/>
      <c r="I108" s="506"/>
      <c r="J108" s="366"/>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367"/>
      <c r="AM108" s="367"/>
      <c r="AN108" s="367"/>
      <c r="AO108" s="367"/>
      <c r="AP108" s="367"/>
      <c r="AQ108" s="367"/>
      <c r="AR108" s="431"/>
      <c r="AS108" s="432"/>
      <c r="AT108" s="125"/>
      <c r="AW108" s="125"/>
      <c r="AX108" s="125"/>
      <c r="AY108" s="125"/>
      <c r="AZ108" s="125"/>
      <c r="BA108" s="125"/>
      <c r="BB108" s="125"/>
      <c r="BC108" s="125"/>
      <c r="BD108" s="125"/>
      <c r="BE108" s="125"/>
      <c r="BF108" s="125"/>
    </row>
    <row r="109" spans="1:58" x14ac:dyDescent="0.15">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W109" s="125"/>
      <c r="AX109" s="125"/>
      <c r="AY109" s="125"/>
      <c r="AZ109" s="125"/>
      <c r="BA109" s="125"/>
      <c r="BB109" s="125"/>
      <c r="BC109" s="125"/>
      <c r="BD109" s="125"/>
      <c r="BE109" s="125"/>
      <c r="BF109" s="125"/>
    </row>
    <row r="110" spans="1:58" x14ac:dyDescent="0.15">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W110" s="125"/>
      <c r="AX110" s="125"/>
      <c r="AY110" s="125"/>
      <c r="AZ110" s="125"/>
      <c r="BA110" s="125"/>
      <c r="BB110" s="125"/>
      <c r="BC110" s="125"/>
      <c r="BD110" s="125"/>
      <c r="BE110" s="125"/>
      <c r="BF110" s="125"/>
    </row>
    <row r="111" spans="1:58" x14ac:dyDescent="0.15">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W111" s="125"/>
      <c r="AX111" s="125"/>
      <c r="AY111" s="125"/>
      <c r="AZ111" s="125"/>
      <c r="BA111" s="125"/>
      <c r="BB111" s="125"/>
      <c r="BC111" s="125"/>
      <c r="BD111" s="125"/>
      <c r="BE111" s="125"/>
      <c r="BF111" s="125"/>
    </row>
    <row r="112" spans="1:58" x14ac:dyDescent="0.15">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W112" s="125"/>
      <c r="AX112" s="125"/>
      <c r="AY112" s="125"/>
      <c r="AZ112" s="125"/>
      <c r="BA112" s="125"/>
      <c r="BB112" s="125"/>
      <c r="BC112" s="125"/>
      <c r="BD112" s="125"/>
      <c r="BE112" s="125"/>
      <c r="BF112" s="125"/>
    </row>
    <row r="113" spans="1:58" x14ac:dyDescent="0.15">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32"/>
      <c r="AV113" s="133"/>
      <c r="AW113" s="125"/>
      <c r="AX113" s="125"/>
      <c r="AY113" s="125"/>
      <c r="AZ113" s="125"/>
      <c r="BA113" s="125"/>
      <c r="BB113" s="125"/>
      <c r="BC113" s="125"/>
      <c r="BD113" s="125"/>
      <c r="BE113" s="125"/>
      <c r="BF113" s="125"/>
    </row>
    <row r="114" spans="1:58" x14ac:dyDescent="0.15">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32"/>
      <c r="AV114" s="133"/>
      <c r="AW114" s="125"/>
      <c r="AX114" s="125"/>
      <c r="AY114" s="125"/>
      <c r="AZ114" s="125"/>
      <c r="BA114" s="125"/>
      <c r="BB114" s="125"/>
      <c r="BC114" s="125"/>
      <c r="BD114" s="125"/>
      <c r="BE114" s="125"/>
      <c r="BF114" s="125"/>
    </row>
    <row r="115" spans="1:58" x14ac:dyDescent="0.15">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32"/>
      <c r="AV115" s="133"/>
      <c r="AW115" s="125"/>
      <c r="AX115" s="125"/>
      <c r="AY115" s="125"/>
      <c r="AZ115" s="125"/>
      <c r="BA115" s="125"/>
      <c r="BB115" s="125"/>
      <c r="BC115" s="125"/>
      <c r="BD115" s="125"/>
      <c r="BE115" s="125"/>
      <c r="BF115" s="125"/>
    </row>
    <row r="116" spans="1:58" x14ac:dyDescent="0.15">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32"/>
      <c r="AV116" s="133"/>
      <c r="AW116" s="125"/>
      <c r="AX116" s="125"/>
      <c r="AY116" s="125"/>
      <c r="AZ116" s="125"/>
      <c r="BA116" s="125"/>
      <c r="BB116" s="125"/>
      <c r="BC116" s="125"/>
      <c r="BD116" s="125"/>
      <c r="BE116" s="125"/>
      <c r="BF116" s="125"/>
    </row>
    <row r="117" spans="1:58" x14ac:dyDescent="0.15">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32"/>
      <c r="AV117" s="133"/>
      <c r="AW117" s="125"/>
      <c r="AX117" s="125"/>
      <c r="AY117" s="125"/>
      <c r="AZ117" s="125"/>
      <c r="BA117" s="125"/>
      <c r="BB117" s="125"/>
      <c r="BC117" s="125"/>
      <c r="BD117" s="125"/>
      <c r="BE117" s="125"/>
      <c r="BF117" s="125"/>
    </row>
    <row r="118" spans="1:58" x14ac:dyDescent="0.15">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32"/>
      <c r="AV118" s="133"/>
      <c r="AW118" s="125"/>
      <c r="AX118" s="125"/>
      <c r="AY118" s="125"/>
      <c r="AZ118" s="125"/>
      <c r="BA118" s="125"/>
      <c r="BB118" s="125"/>
      <c r="BC118" s="125"/>
      <c r="BD118" s="125"/>
      <c r="BE118" s="125"/>
      <c r="BF118" s="125"/>
    </row>
    <row r="119" spans="1:58" x14ac:dyDescent="0.15">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32"/>
      <c r="AV119" s="133"/>
      <c r="AW119" s="125"/>
      <c r="AX119" s="125"/>
      <c r="AY119" s="125"/>
      <c r="AZ119" s="125"/>
      <c r="BA119" s="125"/>
      <c r="BB119" s="125"/>
      <c r="BC119" s="125"/>
      <c r="BD119" s="125"/>
      <c r="BE119" s="125"/>
      <c r="BF119" s="125"/>
    </row>
    <row r="120" spans="1:58" x14ac:dyDescent="0.15">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32"/>
      <c r="AV120" s="133"/>
      <c r="AW120" s="125"/>
      <c r="AX120" s="125"/>
      <c r="AY120" s="125"/>
      <c r="AZ120" s="125"/>
      <c r="BA120" s="125"/>
      <c r="BB120" s="125"/>
      <c r="BC120" s="125"/>
      <c r="BD120" s="125"/>
      <c r="BE120" s="125"/>
      <c r="BF120" s="125"/>
    </row>
    <row r="121" spans="1:58" x14ac:dyDescent="0.15">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32"/>
      <c r="AV121" s="133"/>
      <c r="AW121" s="125"/>
      <c r="AX121" s="125"/>
      <c r="AY121" s="125"/>
      <c r="AZ121" s="125"/>
      <c r="BA121" s="125"/>
      <c r="BB121" s="125"/>
      <c r="BC121" s="125"/>
      <c r="BD121" s="125"/>
      <c r="BE121" s="125"/>
      <c r="BF121" s="125"/>
    </row>
    <row r="122" spans="1:58" x14ac:dyDescent="0.15">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32"/>
      <c r="AV122" s="133"/>
      <c r="AW122" s="125"/>
      <c r="AX122" s="125"/>
      <c r="AY122" s="125"/>
      <c r="AZ122" s="125"/>
      <c r="BA122" s="125"/>
      <c r="BB122" s="125"/>
      <c r="BC122" s="125"/>
      <c r="BD122" s="125"/>
      <c r="BE122" s="125"/>
      <c r="BF122" s="125"/>
    </row>
    <row r="123" spans="1:58" x14ac:dyDescent="0.15">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32"/>
      <c r="AV123" s="133"/>
      <c r="AW123" s="125"/>
      <c r="AX123" s="125"/>
      <c r="AY123" s="125"/>
      <c r="AZ123" s="125"/>
      <c r="BA123" s="125"/>
      <c r="BB123" s="125"/>
      <c r="BC123" s="125"/>
      <c r="BD123" s="125"/>
      <c r="BE123" s="125"/>
      <c r="BF123" s="125"/>
    </row>
    <row r="124" spans="1:58" x14ac:dyDescent="0.15">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32"/>
      <c r="AV124" s="133"/>
      <c r="AW124" s="125"/>
      <c r="AX124" s="125"/>
      <c r="AY124" s="125"/>
      <c r="AZ124" s="125"/>
      <c r="BA124" s="125"/>
      <c r="BB124" s="125"/>
      <c r="BC124" s="125"/>
      <c r="BD124" s="125"/>
      <c r="BE124" s="125"/>
      <c r="BF124" s="125"/>
    </row>
    <row r="125" spans="1:58" x14ac:dyDescent="0.15">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32"/>
      <c r="AV125" s="133"/>
      <c r="AW125" s="125"/>
      <c r="AX125" s="125"/>
      <c r="AY125" s="125"/>
      <c r="AZ125" s="125"/>
      <c r="BA125" s="125"/>
      <c r="BB125" s="125"/>
      <c r="BC125" s="125"/>
      <c r="BD125" s="125"/>
      <c r="BE125" s="125"/>
      <c r="BF125" s="125"/>
    </row>
    <row r="126" spans="1:58" x14ac:dyDescent="0.15">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32"/>
      <c r="AV126" s="133"/>
      <c r="AW126" s="125"/>
      <c r="AX126" s="125"/>
      <c r="AY126" s="125"/>
      <c r="AZ126" s="125"/>
      <c r="BA126" s="125"/>
      <c r="BB126" s="125"/>
      <c r="BC126" s="125"/>
      <c r="BD126" s="125"/>
      <c r="BE126" s="125"/>
      <c r="BF126" s="125"/>
    </row>
    <row r="127" spans="1:58" x14ac:dyDescent="0.15">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32"/>
      <c r="AV127" s="133"/>
      <c r="AW127" s="125"/>
      <c r="AX127" s="125"/>
      <c r="AY127" s="125"/>
      <c r="AZ127" s="125"/>
      <c r="BA127" s="125"/>
      <c r="BB127" s="125"/>
      <c r="BC127" s="125"/>
      <c r="BD127" s="125"/>
      <c r="BE127" s="125"/>
      <c r="BF127" s="125"/>
    </row>
    <row r="128" spans="1:58" x14ac:dyDescent="0.15">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32"/>
      <c r="AV128" s="133"/>
      <c r="AW128" s="125"/>
      <c r="AX128" s="125"/>
      <c r="AY128" s="125"/>
      <c r="AZ128" s="125"/>
      <c r="BA128" s="125"/>
      <c r="BB128" s="125"/>
      <c r="BC128" s="125"/>
      <c r="BD128" s="125"/>
      <c r="BE128" s="125"/>
      <c r="BF128" s="125"/>
    </row>
    <row r="129" spans="1:58" x14ac:dyDescent="0.15">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32"/>
      <c r="AV129" s="133"/>
      <c r="AW129" s="125"/>
      <c r="AX129" s="125"/>
      <c r="AY129" s="125"/>
      <c r="AZ129" s="125"/>
      <c r="BA129" s="125"/>
      <c r="BB129" s="125"/>
      <c r="BC129" s="125"/>
      <c r="BD129" s="125"/>
      <c r="BE129" s="125"/>
      <c r="BF129" s="125"/>
    </row>
    <row r="130" spans="1:58" x14ac:dyDescent="0.15">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32"/>
      <c r="AV130" s="133"/>
      <c r="AW130" s="125"/>
      <c r="AX130" s="125"/>
      <c r="AY130" s="125"/>
      <c r="AZ130" s="125"/>
      <c r="BA130" s="125"/>
      <c r="BB130" s="125"/>
      <c r="BC130" s="125"/>
      <c r="BD130" s="125"/>
      <c r="BE130" s="125"/>
      <c r="BF130" s="125"/>
    </row>
    <row r="131" spans="1:58" x14ac:dyDescent="0.15">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32"/>
      <c r="AV131" s="133"/>
      <c r="AW131" s="125"/>
      <c r="AX131" s="125"/>
      <c r="AY131" s="125"/>
      <c r="AZ131" s="125"/>
      <c r="BA131" s="125"/>
      <c r="BB131" s="125"/>
      <c r="BC131" s="125"/>
      <c r="BD131" s="125"/>
      <c r="BE131" s="125"/>
      <c r="BF131" s="125"/>
    </row>
    <row r="132" spans="1:58" x14ac:dyDescent="0.15">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32"/>
      <c r="AV132" s="133"/>
      <c r="AW132" s="125"/>
      <c r="AX132" s="125"/>
      <c r="AY132" s="125"/>
      <c r="AZ132" s="125"/>
      <c r="BA132" s="125"/>
      <c r="BB132" s="125"/>
      <c r="BC132" s="125"/>
      <c r="BD132" s="125"/>
      <c r="BE132" s="125"/>
      <c r="BF132" s="125"/>
    </row>
    <row r="133" spans="1:58" x14ac:dyDescent="0.15">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32"/>
      <c r="AV133" s="133"/>
      <c r="AW133" s="125"/>
      <c r="AX133" s="125"/>
      <c r="AY133" s="125"/>
      <c r="AZ133" s="125"/>
      <c r="BA133" s="125"/>
      <c r="BB133" s="125"/>
      <c r="BC133" s="125"/>
      <c r="BD133" s="125"/>
      <c r="BE133" s="125"/>
      <c r="BF133" s="125"/>
    </row>
    <row r="134" spans="1:58" x14ac:dyDescent="0.15">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32"/>
      <c r="AV134" s="133"/>
      <c r="AW134" s="125"/>
      <c r="AX134" s="125"/>
      <c r="AY134" s="125"/>
      <c r="AZ134" s="125"/>
      <c r="BA134" s="125"/>
      <c r="BB134" s="125"/>
      <c r="BC134" s="125"/>
      <c r="BD134" s="125"/>
      <c r="BE134" s="125"/>
      <c r="BF134" s="125"/>
    </row>
    <row r="135" spans="1:58" x14ac:dyDescent="0.15">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32"/>
      <c r="AV135" s="133"/>
      <c r="AW135" s="125"/>
      <c r="AX135" s="125"/>
      <c r="AY135" s="125"/>
      <c r="AZ135" s="125"/>
      <c r="BA135" s="125"/>
      <c r="BB135" s="125"/>
      <c r="BC135" s="125"/>
      <c r="BD135" s="125"/>
      <c r="BE135" s="125"/>
      <c r="BF135" s="125"/>
    </row>
    <row r="136" spans="1:58" x14ac:dyDescent="0.15">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32"/>
      <c r="AV136" s="133"/>
      <c r="AW136" s="125"/>
      <c r="AX136" s="125"/>
      <c r="AY136" s="125"/>
      <c r="AZ136" s="125"/>
      <c r="BA136" s="125"/>
      <c r="BB136" s="125"/>
      <c r="BC136" s="125"/>
      <c r="BD136" s="125"/>
      <c r="BE136" s="125"/>
      <c r="BF136" s="125"/>
    </row>
    <row r="137" spans="1:58" x14ac:dyDescent="0.15">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32"/>
      <c r="AV137" s="133"/>
      <c r="AW137" s="125"/>
      <c r="AX137" s="125"/>
      <c r="AY137" s="125"/>
      <c r="AZ137" s="125"/>
      <c r="BA137" s="125"/>
      <c r="BB137" s="125"/>
      <c r="BC137" s="125"/>
      <c r="BD137" s="125"/>
      <c r="BE137" s="125"/>
      <c r="BF137" s="125"/>
    </row>
    <row r="138" spans="1:58" x14ac:dyDescent="0.15">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32"/>
      <c r="AV138" s="133"/>
      <c r="AW138" s="125"/>
      <c r="AX138" s="125"/>
      <c r="AY138" s="125"/>
      <c r="AZ138" s="125"/>
      <c r="BA138" s="125"/>
      <c r="BB138" s="125"/>
      <c r="BC138" s="125"/>
      <c r="BD138" s="125"/>
      <c r="BE138" s="125"/>
      <c r="BF138" s="125"/>
    </row>
    <row r="139" spans="1:58" x14ac:dyDescent="0.15">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32"/>
      <c r="AV139" s="133"/>
      <c r="AW139" s="125"/>
      <c r="AX139" s="125"/>
      <c r="AY139" s="125"/>
      <c r="AZ139" s="125"/>
      <c r="BA139" s="125"/>
      <c r="BB139" s="125"/>
      <c r="BC139" s="125"/>
      <c r="BD139" s="125"/>
      <c r="BE139" s="125"/>
      <c r="BF139" s="125"/>
    </row>
    <row r="140" spans="1:58" x14ac:dyDescent="0.15">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32"/>
      <c r="AV140" s="133"/>
      <c r="AW140" s="125"/>
      <c r="AX140" s="125"/>
      <c r="AY140" s="125"/>
      <c r="AZ140" s="125"/>
      <c r="BA140" s="125"/>
      <c r="BB140" s="125"/>
      <c r="BC140" s="125"/>
      <c r="BD140" s="125"/>
      <c r="BE140" s="125"/>
      <c r="BF140" s="125"/>
    </row>
    <row r="141" spans="1:58" x14ac:dyDescent="0.15">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32"/>
      <c r="AV141" s="133"/>
      <c r="AW141" s="125"/>
      <c r="AX141" s="125"/>
      <c r="AY141" s="125"/>
      <c r="AZ141" s="125"/>
      <c r="BA141" s="125"/>
      <c r="BB141" s="125"/>
      <c r="BC141" s="125"/>
      <c r="BD141" s="125"/>
      <c r="BE141" s="125"/>
      <c r="BF141" s="125"/>
    </row>
    <row r="142" spans="1:58" x14ac:dyDescent="0.15">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32"/>
      <c r="AV142" s="133"/>
      <c r="AW142" s="125"/>
      <c r="AX142" s="125"/>
      <c r="AY142" s="125"/>
      <c r="AZ142" s="125"/>
      <c r="BA142" s="125"/>
      <c r="BB142" s="125"/>
      <c r="BC142" s="125"/>
      <c r="BD142" s="125"/>
      <c r="BE142" s="125"/>
      <c r="BF142" s="125"/>
    </row>
    <row r="143" spans="1:58" x14ac:dyDescent="0.15">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32"/>
      <c r="AV143" s="133"/>
      <c r="AW143" s="125"/>
      <c r="AX143" s="125"/>
      <c r="AY143" s="125"/>
      <c r="AZ143" s="125"/>
      <c r="BA143" s="125"/>
      <c r="BB143" s="125"/>
      <c r="BC143" s="125"/>
      <c r="BD143" s="125"/>
      <c r="BE143" s="125"/>
      <c r="BF143" s="125"/>
    </row>
    <row r="144" spans="1:58" x14ac:dyDescent="0.15">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32"/>
      <c r="AV144" s="133"/>
      <c r="AW144" s="125"/>
      <c r="AX144" s="125"/>
      <c r="AY144" s="125"/>
      <c r="AZ144" s="125"/>
      <c r="BA144" s="125"/>
      <c r="BB144" s="125"/>
      <c r="BC144" s="125"/>
      <c r="BD144" s="125"/>
      <c r="BE144" s="125"/>
      <c r="BF144" s="125"/>
    </row>
    <row r="145" spans="1:58" x14ac:dyDescent="0.15">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32"/>
      <c r="AV145" s="133"/>
      <c r="AW145" s="125"/>
      <c r="AX145" s="125"/>
      <c r="AY145" s="125"/>
      <c r="AZ145" s="125"/>
      <c r="BA145" s="125"/>
      <c r="BB145" s="125"/>
      <c r="BC145" s="125"/>
      <c r="BD145" s="125"/>
      <c r="BE145" s="125"/>
      <c r="BF145" s="125"/>
    </row>
  </sheetData>
  <sheetProtection algorithmName="SHA-512" hashValue="y/Oyu24geLPnB8XvWIKPQgqhankdQOzHjSpmI21AnZ4NxOriXHFalRpGlJheeKTzVr3kEJza4mx2MOU6CqkOng==" saltValue="7FsXfTyaJqTr9wSx+xtH4g==" spinCount="100000" sheet="1" objects="1" scenarios="1"/>
  <mergeCells count="100">
    <mergeCell ref="B106:C108"/>
    <mergeCell ref="D106:I108"/>
    <mergeCell ref="J106:AQ108"/>
    <mergeCell ref="AR106:AS108"/>
    <mergeCell ref="B98:C102"/>
    <mergeCell ref="D98:I102"/>
    <mergeCell ref="J98:AQ102"/>
    <mergeCell ref="AR98:AS102"/>
    <mergeCell ref="B103:C105"/>
    <mergeCell ref="D103:I105"/>
    <mergeCell ref="J103:AQ105"/>
    <mergeCell ref="AR103:AS105"/>
    <mergeCell ref="B89:C93"/>
    <mergeCell ref="D89:I93"/>
    <mergeCell ref="J89:AQ93"/>
    <mergeCell ref="AR89:AS93"/>
    <mergeCell ref="B94:C97"/>
    <mergeCell ref="D94:I97"/>
    <mergeCell ref="J94:AQ97"/>
    <mergeCell ref="AR94:AS97"/>
    <mergeCell ref="B79:C83"/>
    <mergeCell ref="D79:I83"/>
    <mergeCell ref="J79:AQ83"/>
    <mergeCell ref="AR79:AS83"/>
    <mergeCell ref="B84:C88"/>
    <mergeCell ref="D84:I88"/>
    <mergeCell ref="J84:AQ88"/>
    <mergeCell ref="AR84:AS88"/>
    <mergeCell ref="B76:C78"/>
    <mergeCell ref="D76:I78"/>
    <mergeCell ref="J76:AQ78"/>
    <mergeCell ref="AR76:AS78"/>
    <mergeCell ref="B73:C75"/>
    <mergeCell ref="D73:I75"/>
    <mergeCell ref="J73:AQ75"/>
    <mergeCell ref="AR73:AS75"/>
    <mergeCell ref="B71:AS72"/>
    <mergeCell ref="A65:AT66"/>
    <mergeCell ref="A67:W68"/>
    <mergeCell ref="AP67:AT68"/>
    <mergeCell ref="B69:J70"/>
    <mergeCell ref="B53:C56"/>
    <mergeCell ref="D53:I56"/>
    <mergeCell ref="J53:AQ56"/>
    <mergeCell ref="AR53:AS56"/>
    <mergeCell ref="B60:C63"/>
    <mergeCell ref="D60:I63"/>
    <mergeCell ref="J60:AQ63"/>
    <mergeCell ref="AR60:AS63"/>
    <mergeCell ref="B57:C59"/>
    <mergeCell ref="D57:I59"/>
    <mergeCell ref="J57:AQ59"/>
    <mergeCell ref="AR57:AS59"/>
    <mergeCell ref="B43:C45"/>
    <mergeCell ref="D43:I45"/>
    <mergeCell ref="J43:AQ45"/>
    <mergeCell ref="AR43:AS45"/>
    <mergeCell ref="B46:C48"/>
    <mergeCell ref="D46:I48"/>
    <mergeCell ref="J46:AQ48"/>
    <mergeCell ref="AR46:AS48"/>
    <mergeCell ref="B49:C52"/>
    <mergeCell ref="D49:I52"/>
    <mergeCell ref="J49:AQ52"/>
    <mergeCell ref="AR49:AS52"/>
    <mergeCell ref="B37:C39"/>
    <mergeCell ref="D37:I39"/>
    <mergeCell ref="J37:AQ39"/>
    <mergeCell ref="AR37:AS39"/>
    <mergeCell ref="B40:C42"/>
    <mergeCell ref="D40:I42"/>
    <mergeCell ref="J40:AQ42"/>
    <mergeCell ref="AR40:AS42"/>
    <mergeCell ref="B34:C36"/>
    <mergeCell ref="D34:I36"/>
    <mergeCell ref="J34:AQ36"/>
    <mergeCell ref="AR34:AS36"/>
    <mergeCell ref="B14:I15"/>
    <mergeCell ref="J14:U15"/>
    <mergeCell ref="B16:R17"/>
    <mergeCell ref="B18:I21"/>
    <mergeCell ref="J18:AS21"/>
    <mergeCell ref="B22:R23"/>
    <mergeCell ref="B24:I25"/>
    <mergeCell ref="J24:AS25"/>
    <mergeCell ref="L28:AS29"/>
    <mergeCell ref="B30:J31"/>
    <mergeCell ref="B32:AS33"/>
    <mergeCell ref="B8:I9"/>
    <mergeCell ref="J8:AS9"/>
    <mergeCell ref="B10:I11"/>
    <mergeCell ref="J10:AS11"/>
    <mergeCell ref="B12:I13"/>
    <mergeCell ref="J12:AS13"/>
    <mergeCell ref="B6:J7"/>
    <mergeCell ref="A1:AT2"/>
    <mergeCell ref="A3:W4"/>
    <mergeCell ref="X3:AO4"/>
    <mergeCell ref="AP3:AT4"/>
    <mergeCell ref="B5:AS5"/>
  </mergeCells>
  <phoneticPr fontId="1"/>
  <conditionalFormatting sqref="J14:U15">
    <cfRule type="expression" dxfId="25" priority="6">
      <formula>$AV$14="OK"</formula>
    </cfRule>
  </conditionalFormatting>
  <conditionalFormatting sqref="J10:AS11">
    <cfRule type="expression" dxfId="24" priority="7">
      <formula>$AV$10="OK"</formula>
    </cfRule>
  </conditionalFormatting>
  <conditionalFormatting sqref="J18:AS21">
    <cfRule type="expression" dxfId="23" priority="5">
      <formula>$AV$19="OK"</formula>
    </cfRule>
  </conditionalFormatting>
  <conditionalFormatting sqref="J24:AS25 J28:L28 J29:K29 J27:AS27">
    <cfRule type="expression" dxfId="22" priority="4">
      <formula>$AV$24="OK"</formula>
    </cfRule>
  </conditionalFormatting>
  <conditionalFormatting sqref="X3:AO4">
    <cfRule type="expression" dxfId="21" priority="3">
      <formula>$AV$3=$AU$3</formula>
    </cfRule>
  </conditionalFormatting>
  <conditionalFormatting sqref="AR34:AS36">
    <cfRule type="expression" dxfId="20" priority="23">
      <formula>$AU$35=TRUE</formula>
    </cfRule>
  </conditionalFormatting>
  <conditionalFormatting sqref="AR37:AS39">
    <cfRule type="expression" dxfId="19" priority="22">
      <formula>$AU$38=TRUE</formula>
    </cfRule>
  </conditionalFormatting>
  <conditionalFormatting sqref="AR40:AS42">
    <cfRule type="expression" dxfId="18" priority="21">
      <formula>$AU$41=TRUE</formula>
    </cfRule>
  </conditionalFormatting>
  <conditionalFormatting sqref="AR43:AS45">
    <cfRule type="expression" dxfId="17" priority="20">
      <formula>$AU$44=TRUE</formula>
    </cfRule>
  </conditionalFormatting>
  <conditionalFormatting sqref="AR49:AS52">
    <cfRule type="expression" dxfId="16" priority="19">
      <formula>$AU$51=TRUE</formula>
    </cfRule>
  </conditionalFormatting>
  <conditionalFormatting sqref="AR53:AS56">
    <cfRule type="expression" dxfId="15" priority="18">
      <formula>$AU$55=TRUE</formula>
    </cfRule>
  </conditionalFormatting>
  <conditionalFormatting sqref="AR57:AS59">
    <cfRule type="expression" dxfId="14" priority="17">
      <formula>$AU$58=TRUE</formula>
    </cfRule>
  </conditionalFormatting>
  <conditionalFormatting sqref="AR73:AS75">
    <cfRule type="expression" dxfId="13" priority="16">
      <formula>$AU$74=TRUE</formula>
    </cfRule>
  </conditionalFormatting>
  <conditionalFormatting sqref="AR76:AS78">
    <cfRule type="expression" dxfId="12" priority="15">
      <formula>$AU$77=TRUE</formula>
    </cfRule>
  </conditionalFormatting>
  <conditionalFormatting sqref="AR79:AS83">
    <cfRule type="expression" dxfId="11" priority="14">
      <formula>$AU$81=TRUE</formula>
    </cfRule>
  </conditionalFormatting>
  <conditionalFormatting sqref="AR84:AS88">
    <cfRule type="expression" dxfId="10" priority="13">
      <formula>$AU$86=TRUE</formula>
    </cfRule>
  </conditionalFormatting>
  <conditionalFormatting sqref="AR89:AS93">
    <cfRule type="expression" dxfId="9" priority="12">
      <formula>$AU$91=TRUE</formula>
    </cfRule>
  </conditionalFormatting>
  <conditionalFormatting sqref="AR94:AS97">
    <cfRule type="expression" dxfId="8" priority="11">
      <formula>$AU$95=TRUE</formula>
    </cfRule>
  </conditionalFormatting>
  <conditionalFormatting sqref="AR98:AS102">
    <cfRule type="expression" dxfId="7" priority="10">
      <formula>$AU$100=TRUE</formula>
    </cfRule>
  </conditionalFormatting>
  <conditionalFormatting sqref="AR103:AS105">
    <cfRule type="expression" dxfId="6" priority="9">
      <formula>$AU$104=TRUE</formula>
    </cfRule>
  </conditionalFormatting>
  <conditionalFormatting sqref="AR106:AS108">
    <cfRule type="expression" dxfId="5" priority="8">
      <formula>$AU$107=TRUE</formula>
    </cfRule>
  </conditionalFormatting>
  <conditionalFormatting sqref="AR46:AS48">
    <cfRule type="expression" dxfId="4" priority="2">
      <formula>$AU$47=TRUE</formula>
    </cfRule>
  </conditionalFormatting>
  <conditionalFormatting sqref="AR60:AS63">
    <cfRule type="expression" dxfId="3" priority="24">
      <formula>$AU$61=TRUE</formula>
    </cfRule>
  </conditionalFormatting>
  <conditionalFormatting sqref="J12:AS13">
    <cfRule type="expression" dxfId="2" priority="1">
      <formula>$AV$12="OK"</formula>
    </cfRule>
  </conditionalFormatting>
  <hyperlinks>
    <hyperlink ref="W15" r:id="rId1" xr:uid="{91617F28-EEDF-4230-AE11-9F30DCA69F71}"/>
  </hyperlinks>
  <printOptions horizontalCentered="1"/>
  <pageMargins left="0.23622047244094491" right="0.23622047244094491" top="0.35433070866141736" bottom="0.35433070866141736" header="0.11811023622047245" footer="0.11811023622047245"/>
  <pageSetup paperSize="9" fitToHeight="0" orientation="portrait" r:id="rId2"/>
  <rowBreaks count="1" manualBreakCount="1">
    <brk id="64" max="46" man="1"/>
  </rowBreaks>
  <drawing r:id="rId3"/>
  <legacyDrawing r:id="rId4"/>
  <mc:AlternateContent xmlns:mc="http://schemas.openxmlformats.org/markup-compatibility/2006">
    <mc:Choice Requires="x14">
      <controls>
        <mc:AlternateContent xmlns:mc="http://schemas.openxmlformats.org/markup-compatibility/2006">
          <mc:Choice Requires="x14">
            <control shapeId="8193" r:id="rId5" name="Check Box 1">
              <controlPr locked="0" defaultSize="0" autoFill="0" autoLine="0" autoPict="0">
                <anchor moveWithCells="1">
                  <from>
                    <xdr:col>43</xdr:col>
                    <xdr:colOff>66675</xdr:colOff>
                    <xdr:row>34</xdr:row>
                    <xdr:rowOff>9525</xdr:rowOff>
                  </from>
                  <to>
                    <xdr:col>44</xdr:col>
                    <xdr:colOff>114300</xdr:colOff>
                    <xdr:row>35</xdr:row>
                    <xdr:rowOff>0</xdr:rowOff>
                  </to>
                </anchor>
              </controlPr>
            </control>
          </mc:Choice>
        </mc:AlternateContent>
        <mc:AlternateContent xmlns:mc="http://schemas.openxmlformats.org/markup-compatibility/2006">
          <mc:Choice Requires="x14">
            <control shapeId="8194" r:id="rId6" name="Check Box 2">
              <controlPr locked="0" defaultSize="0" autoFill="0" autoLine="0" autoPict="0">
                <anchor moveWithCells="1">
                  <from>
                    <xdr:col>43</xdr:col>
                    <xdr:colOff>66675</xdr:colOff>
                    <xdr:row>39</xdr:row>
                    <xdr:rowOff>123825</xdr:rowOff>
                  </from>
                  <to>
                    <xdr:col>44</xdr:col>
                    <xdr:colOff>104775</xdr:colOff>
                    <xdr:row>40</xdr:row>
                    <xdr:rowOff>152400</xdr:rowOff>
                  </to>
                </anchor>
              </controlPr>
            </control>
          </mc:Choice>
        </mc:AlternateContent>
        <mc:AlternateContent xmlns:mc="http://schemas.openxmlformats.org/markup-compatibility/2006">
          <mc:Choice Requires="x14">
            <control shapeId="8195" r:id="rId7" name="Check Box 3">
              <controlPr locked="0" defaultSize="0" autoFill="0" autoLine="0" autoPict="0">
                <anchor moveWithCells="1">
                  <from>
                    <xdr:col>43</xdr:col>
                    <xdr:colOff>66675</xdr:colOff>
                    <xdr:row>42</xdr:row>
                    <xdr:rowOff>123825</xdr:rowOff>
                  </from>
                  <to>
                    <xdr:col>44</xdr:col>
                    <xdr:colOff>104775</xdr:colOff>
                    <xdr:row>43</xdr:row>
                    <xdr:rowOff>142875</xdr:rowOff>
                  </to>
                </anchor>
              </controlPr>
            </control>
          </mc:Choice>
        </mc:AlternateContent>
        <mc:AlternateContent xmlns:mc="http://schemas.openxmlformats.org/markup-compatibility/2006">
          <mc:Choice Requires="x14">
            <control shapeId="8196" r:id="rId8" name="Check Box 4">
              <controlPr locked="0" defaultSize="0" autoFill="0" autoLine="0" autoPict="0">
                <anchor moveWithCells="1">
                  <from>
                    <xdr:col>43</xdr:col>
                    <xdr:colOff>66675</xdr:colOff>
                    <xdr:row>49</xdr:row>
                    <xdr:rowOff>152400</xdr:rowOff>
                  </from>
                  <to>
                    <xdr:col>44</xdr:col>
                    <xdr:colOff>104775</xdr:colOff>
                    <xdr:row>51</xdr:row>
                    <xdr:rowOff>28575</xdr:rowOff>
                  </to>
                </anchor>
              </controlPr>
            </control>
          </mc:Choice>
        </mc:AlternateContent>
        <mc:AlternateContent xmlns:mc="http://schemas.openxmlformats.org/markup-compatibility/2006">
          <mc:Choice Requires="x14">
            <control shapeId="8197" r:id="rId9" name="Check Box 5">
              <controlPr locked="0" defaultSize="0" autoFill="0" autoLine="0" autoPict="0">
                <anchor moveWithCells="1">
                  <from>
                    <xdr:col>43</xdr:col>
                    <xdr:colOff>66675</xdr:colOff>
                    <xdr:row>53</xdr:row>
                    <xdr:rowOff>104775</xdr:rowOff>
                  </from>
                  <to>
                    <xdr:col>44</xdr:col>
                    <xdr:colOff>104775</xdr:colOff>
                    <xdr:row>54</xdr:row>
                    <xdr:rowOff>142875</xdr:rowOff>
                  </to>
                </anchor>
              </controlPr>
            </control>
          </mc:Choice>
        </mc:AlternateContent>
        <mc:AlternateContent xmlns:mc="http://schemas.openxmlformats.org/markup-compatibility/2006">
          <mc:Choice Requires="x14">
            <control shapeId="8198" r:id="rId10" name="Check Box 6">
              <controlPr locked="0" defaultSize="0" autoFill="0" autoLine="0" autoPict="0">
                <anchor moveWithCells="1">
                  <from>
                    <xdr:col>43</xdr:col>
                    <xdr:colOff>66675</xdr:colOff>
                    <xdr:row>56</xdr:row>
                    <xdr:rowOff>123825</xdr:rowOff>
                  </from>
                  <to>
                    <xdr:col>44</xdr:col>
                    <xdr:colOff>104775</xdr:colOff>
                    <xdr:row>57</xdr:row>
                    <xdr:rowOff>152400</xdr:rowOff>
                  </to>
                </anchor>
              </controlPr>
            </control>
          </mc:Choice>
        </mc:AlternateContent>
        <mc:AlternateContent xmlns:mc="http://schemas.openxmlformats.org/markup-compatibility/2006">
          <mc:Choice Requires="x14">
            <control shapeId="8199" r:id="rId11" name="Check Box 7">
              <controlPr locked="0" defaultSize="0" autoFill="0" autoLine="0" autoPict="0">
                <anchor moveWithCells="1">
                  <from>
                    <xdr:col>43</xdr:col>
                    <xdr:colOff>47625</xdr:colOff>
                    <xdr:row>60</xdr:row>
                    <xdr:rowOff>9525</xdr:rowOff>
                  </from>
                  <to>
                    <xdr:col>44</xdr:col>
                    <xdr:colOff>104775</xdr:colOff>
                    <xdr:row>61</xdr:row>
                    <xdr:rowOff>0</xdr:rowOff>
                  </to>
                </anchor>
              </controlPr>
            </control>
          </mc:Choice>
        </mc:AlternateContent>
        <mc:AlternateContent xmlns:mc="http://schemas.openxmlformats.org/markup-compatibility/2006">
          <mc:Choice Requires="x14">
            <control shapeId="8200" r:id="rId12" name="Check Box 8">
              <controlPr locked="0" defaultSize="0" autoFill="0" autoLine="0" autoPict="0">
                <anchor moveWithCells="1">
                  <from>
                    <xdr:col>43</xdr:col>
                    <xdr:colOff>66675</xdr:colOff>
                    <xdr:row>72</xdr:row>
                    <xdr:rowOff>123825</xdr:rowOff>
                  </from>
                  <to>
                    <xdr:col>44</xdr:col>
                    <xdr:colOff>104775</xdr:colOff>
                    <xdr:row>74</xdr:row>
                    <xdr:rowOff>28575</xdr:rowOff>
                  </to>
                </anchor>
              </controlPr>
            </control>
          </mc:Choice>
        </mc:AlternateContent>
        <mc:AlternateContent xmlns:mc="http://schemas.openxmlformats.org/markup-compatibility/2006">
          <mc:Choice Requires="x14">
            <control shapeId="8201" r:id="rId13" name="Check Box 9">
              <controlPr locked="0" defaultSize="0" autoFill="0" autoLine="0" autoPict="0">
                <anchor moveWithCells="1">
                  <from>
                    <xdr:col>43</xdr:col>
                    <xdr:colOff>66675</xdr:colOff>
                    <xdr:row>75</xdr:row>
                    <xdr:rowOff>123825</xdr:rowOff>
                  </from>
                  <to>
                    <xdr:col>44</xdr:col>
                    <xdr:colOff>104775</xdr:colOff>
                    <xdr:row>77</xdr:row>
                    <xdr:rowOff>9525</xdr:rowOff>
                  </to>
                </anchor>
              </controlPr>
            </control>
          </mc:Choice>
        </mc:AlternateContent>
        <mc:AlternateContent xmlns:mc="http://schemas.openxmlformats.org/markup-compatibility/2006">
          <mc:Choice Requires="x14">
            <control shapeId="8202" r:id="rId14" name="Check Box 10">
              <controlPr locked="0" defaultSize="0" autoFill="0" autoLine="0" autoPict="0">
                <anchor moveWithCells="1">
                  <from>
                    <xdr:col>43</xdr:col>
                    <xdr:colOff>76200</xdr:colOff>
                    <xdr:row>80</xdr:row>
                    <xdr:rowOff>104775</xdr:rowOff>
                  </from>
                  <to>
                    <xdr:col>44</xdr:col>
                    <xdr:colOff>123825</xdr:colOff>
                    <xdr:row>80</xdr:row>
                    <xdr:rowOff>371475</xdr:rowOff>
                  </to>
                </anchor>
              </controlPr>
            </control>
          </mc:Choice>
        </mc:AlternateContent>
        <mc:AlternateContent xmlns:mc="http://schemas.openxmlformats.org/markup-compatibility/2006">
          <mc:Choice Requires="x14">
            <control shapeId="8203" r:id="rId15" name="Check Box 11">
              <controlPr locked="0" defaultSize="0" autoFill="0" autoLine="0" autoPict="0">
                <anchor moveWithCells="1">
                  <from>
                    <xdr:col>43</xdr:col>
                    <xdr:colOff>66675</xdr:colOff>
                    <xdr:row>84</xdr:row>
                    <xdr:rowOff>114300</xdr:rowOff>
                  </from>
                  <to>
                    <xdr:col>44</xdr:col>
                    <xdr:colOff>104775</xdr:colOff>
                    <xdr:row>86</xdr:row>
                    <xdr:rowOff>28575</xdr:rowOff>
                  </to>
                </anchor>
              </controlPr>
            </control>
          </mc:Choice>
        </mc:AlternateContent>
        <mc:AlternateContent xmlns:mc="http://schemas.openxmlformats.org/markup-compatibility/2006">
          <mc:Choice Requires="x14">
            <control shapeId="8204" r:id="rId16" name="Check Box 12">
              <controlPr locked="0" defaultSize="0" autoFill="0" autoLine="0" autoPict="0">
                <anchor moveWithCells="1">
                  <from>
                    <xdr:col>43</xdr:col>
                    <xdr:colOff>66675</xdr:colOff>
                    <xdr:row>89</xdr:row>
                    <xdr:rowOff>123825</xdr:rowOff>
                  </from>
                  <to>
                    <xdr:col>44</xdr:col>
                    <xdr:colOff>104775</xdr:colOff>
                    <xdr:row>91</xdr:row>
                    <xdr:rowOff>28575</xdr:rowOff>
                  </to>
                </anchor>
              </controlPr>
            </control>
          </mc:Choice>
        </mc:AlternateContent>
        <mc:AlternateContent xmlns:mc="http://schemas.openxmlformats.org/markup-compatibility/2006">
          <mc:Choice Requires="x14">
            <control shapeId="8205" r:id="rId17" name="Check Box 13">
              <controlPr locked="0" defaultSize="0" autoFill="0" autoLine="0" autoPict="0">
                <anchor moveWithCells="1">
                  <from>
                    <xdr:col>43</xdr:col>
                    <xdr:colOff>66675</xdr:colOff>
                    <xdr:row>94</xdr:row>
                    <xdr:rowOff>47625</xdr:rowOff>
                  </from>
                  <to>
                    <xdr:col>44</xdr:col>
                    <xdr:colOff>104775</xdr:colOff>
                    <xdr:row>95</xdr:row>
                    <xdr:rowOff>85725</xdr:rowOff>
                  </to>
                </anchor>
              </controlPr>
            </control>
          </mc:Choice>
        </mc:AlternateContent>
        <mc:AlternateContent xmlns:mc="http://schemas.openxmlformats.org/markup-compatibility/2006">
          <mc:Choice Requires="x14">
            <control shapeId="8206" r:id="rId18" name="Check Box 14">
              <controlPr locked="0" defaultSize="0" autoFill="0" autoLine="0" autoPict="0">
                <anchor moveWithCells="1">
                  <from>
                    <xdr:col>43</xdr:col>
                    <xdr:colOff>66675</xdr:colOff>
                    <xdr:row>98</xdr:row>
                    <xdr:rowOff>114300</xdr:rowOff>
                  </from>
                  <to>
                    <xdr:col>44</xdr:col>
                    <xdr:colOff>104775</xdr:colOff>
                    <xdr:row>99</xdr:row>
                    <xdr:rowOff>152400</xdr:rowOff>
                  </to>
                </anchor>
              </controlPr>
            </control>
          </mc:Choice>
        </mc:AlternateContent>
        <mc:AlternateContent xmlns:mc="http://schemas.openxmlformats.org/markup-compatibility/2006">
          <mc:Choice Requires="x14">
            <control shapeId="8207" r:id="rId19" name="Check Box 15">
              <controlPr locked="0" defaultSize="0" autoFill="0" autoLine="0" autoPict="0">
                <anchor moveWithCells="1">
                  <from>
                    <xdr:col>43</xdr:col>
                    <xdr:colOff>66675</xdr:colOff>
                    <xdr:row>102</xdr:row>
                    <xdr:rowOff>219075</xdr:rowOff>
                  </from>
                  <to>
                    <xdr:col>44</xdr:col>
                    <xdr:colOff>104775</xdr:colOff>
                    <xdr:row>104</xdr:row>
                    <xdr:rowOff>0</xdr:rowOff>
                  </to>
                </anchor>
              </controlPr>
            </control>
          </mc:Choice>
        </mc:AlternateContent>
        <mc:AlternateContent xmlns:mc="http://schemas.openxmlformats.org/markup-compatibility/2006">
          <mc:Choice Requires="x14">
            <control shapeId="8208" r:id="rId20" name="Check Box 16">
              <controlPr locked="0" defaultSize="0" autoFill="0" autoLine="0" autoPict="0">
                <anchor moveWithCells="1">
                  <from>
                    <xdr:col>43</xdr:col>
                    <xdr:colOff>66675</xdr:colOff>
                    <xdr:row>105</xdr:row>
                    <xdr:rowOff>180975</xdr:rowOff>
                  </from>
                  <to>
                    <xdr:col>44</xdr:col>
                    <xdr:colOff>104775</xdr:colOff>
                    <xdr:row>107</xdr:row>
                    <xdr:rowOff>9525</xdr:rowOff>
                  </to>
                </anchor>
              </controlPr>
            </control>
          </mc:Choice>
        </mc:AlternateContent>
        <mc:AlternateContent xmlns:mc="http://schemas.openxmlformats.org/markup-compatibility/2006">
          <mc:Choice Requires="x14">
            <control shapeId="8209" r:id="rId21" name="Check Box 17">
              <controlPr locked="0" defaultSize="0" autoFill="0" autoLine="0" autoPict="0">
                <anchor moveWithCells="1">
                  <from>
                    <xdr:col>43</xdr:col>
                    <xdr:colOff>66675</xdr:colOff>
                    <xdr:row>36</xdr:row>
                    <xdr:rowOff>123825</xdr:rowOff>
                  </from>
                  <to>
                    <xdr:col>44</xdr:col>
                    <xdr:colOff>104775</xdr:colOff>
                    <xdr:row>38</xdr:row>
                    <xdr:rowOff>0</xdr:rowOff>
                  </to>
                </anchor>
              </controlPr>
            </control>
          </mc:Choice>
        </mc:AlternateContent>
        <mc:AlternateContent xmlns:mc="http://schemas.openxmlformats.org/markup-compatibility/2006">
          <mc:Choice Requires="x14">
            <control shapeId="8210" r:id="rId22" name="Check Box 18">
              <controlPr locked="0" defaultSize="0" autoFill="0" autoLine="0" autoPict="0">
                <anchor moveWithCells="1">
                  <from>
                    <xdr:col>9</xdr:col>
                    <xdr:colOff>38100</xdr:colOff>
                    <xdr:row>27</xdr:row>
                    <xdr:rowOff>66675</xdr:rowOff>
                  </from>
                  <to>
                    <xdr:col>10</xdr:col>
                    <xdr:colOff>85725</xdr:colOff>
                    <xdr:row>28</xdr:row>
                    <xdr:rowOff>104775</xdr:rowOff>
                  </to>
                </anchor>
              </controlPr>
            </control>
          </mc:Choice>
        </mc:AlternateContent>
        <mc:AlternateContent xmlns:mc="http://schemas.openxmlformats.org/markup-compatibility/2006">
          <mc:Choice Requires="x14">
            <control shapeId="8211" r:id="rId23" name="Check Box 19">
              <controlPr locked="0" defaultSize="0" autoFill="0" autoLine="0" autoPict="0">
                <anchor moveWithCells="1">
                  <from>
                    <xdr:col>43</xdr:col>
                    <xdr:colOff>66675</xdr:colOff>
                    <xdr:row>45</xdr:row>
                    <xdr:rowOff>123825</xdr:rowOff>
                  </from>
                  <to>
                    <xdr:col>44</xdr:col>
                    <xdr:colOff>104775</xdr:colOff>
                    <xdr:row>46</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56DA2-29AE-467D-BDFB-671C61E74A85}">
  <sheetPr codeName="Sheet5">
    <tabColor rgb="FFFFFF00"/>
    <pageSetUpPr fitToPage="1"/>
  </sheetPr>
  <dimension ref="B2:AU17"/>
  <sheetViews>
    <sheetView view="pageBreakPreview" zoomScale="85" zoomScaleNormal="55" zoomScaleSheetLayoutView="85" workbookViewId="0"/>
  </sheetViews>
  <sheetFormatPr defaultColWidth="2.875" defaultRowHeight="13.5" x14ac:dyDescent="0.15"/>
  <sheetData>
    <row r="2" spans="2:47" ht="18.75" customHeight="1" x14ac:dyDescent="0.15">
      <c r="B2" s="510" t="s">
        <v>287</v>
      </c>
      <c r="C2" s="511"/>
      <c r="D2" s="511"/>
      <c r="E2" s="511"/>
      <c r="F2" s="511"/>
      <c r="G2" s="512" t="s">
        <v>239</v>
      </c>
      <c r="H2" s="512"/>
      <c r="I2" s="512"/>
      <c r="J2" s="512"/>
      <c r="K2" s="512"/>
      <c r="L2" s="512"/>
      <c r="M2" s="513" t="str">
        <f>製品カテゴリ</f>
        <v>AGV・AMR</v>
      </c>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3"/>
      <c r="AU2" s="513"/>
    </row>
    <row r="3" spans="2:47" ht="18.75" customHeight="1" x14ac:dyDescent="0.15">
      <c r="B3" s="511"/>
      <c r="C3" s="511"/>
      <c r="D3" s="511"/>
      <c r="E3" s="511"/>
      <c r="F3" s="511"/>
      <c r="G3" s="512" t="s">
        <v>288</v>
      </c>
      <c r="H3" s="512"/>
      <c r="I3" s="512"/>
      <c r="J3" s="512"/>
      <c r="K3" s="512"/>
      <c r="L3" s="512"/>
      <c r="M3" s="513" t="str">
        <f>'②製品審査申請書（事務局用）'!J33</f>
        <v xml:space="preserve">                                    </v>
      </c>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row>
    <row r="4" spans="2:47" x14ac:dyDescent="0.15">
      <c r="B4" s="507" t="s">
        <v>2</v>
      </c>
      <c r="C4" s="507"/>
      <c r="D4" s="507"/>
      <c r="E4" s="507"/>
      <c r="F4" s="507"/>
      <c r="G4" s="508" t="s">
        <v>289</v>
      </c>
      <c r="H4" s="508"/>
      <c r="I4" s="508"/>
      <c r="J4" s="508"/>
      <c r="K4" s="508"/>
      <c r="L4" s="508"/>
      <c r="M4" s="508" t="s">
        <v>290</v>
      </c>
      <c r="N4" s="508"/>
      <c r="O4" s="508"/>
      <c r="P4" s="508"/>
      <c r="Q4" s="508"/>
      <c r="R4" s="508"/>
      <c r="S4" s="508"/>
      <c r="T4" s="508"/>
      <c r="U4" s="508"/>
      <c r="V4" s="508"/>
      <c r="W4" s="508"/>
      <c r="X4" s="508"/>
      <c r="Y4" s="508"/>
      <c r="Z4" s="508"/>
      <c r="AA4" s="508"/>
      <c r="AB4" s="508"/>
      <c r="AC4" s="508"/>
      <c r="AD4" s="508"/>
      <c r="AE4" s="508"/>
      <c r="AF4" s="509" t="s">
        <v>291</v>
      </c>
      <c r="AG4" s="509"/>
      <c r="AH4" s="509"/>
      <c r="AI4" s="509"/>
      <c r="AJ4" s="509"/>
      <c r="AK4" s="509"/>
      <c r="AL4" s="509"/>
      <c r="AM4" s="509"/>
      <c r="AN4" s="509"/>
      <c r="AO4" s="509"/>
      <c r="AP4" s="509"/>
      <c r="AQ4" s="509"/>
      <c r="AR4" s="509"/>
      <c r="AS4" s="509"/>
      <c r="AT4" s="509"/>
      <c r="AU4" s="509"/>
    </row>
    <row r="5" spans="2:47" ht="23.25" customHeight="1" x14ac:dyDescent="0.15">
      <c r="B5" s="514" t="s">
        <v>292</v>
      </c>
      <c r="C5" s="514"/>
      <c r="D5" s="514"/>
      <c r="E5" s="514"/>
      <c r="F5" s="514"/>
      <c r="G5" s="515" t="s">
        <v>293</v>
      </c>
      <c r="H5" s="515"/>
      <c r="I5" s="515"/>
      <c r="J5" s="515"/>
      <c r="K5" s="515"/>
      <c r="L5" s="515"/>
      <c r="M5" s="516">
        <f>製品名称</f>
        <v>0</v>
      </c>
      <c r="N5" s="516"/>
      <c r="O5" s="516"/>
      <c r="P5" s="516"/>
      <c r="Q5" s="516"/>
      <c r="R5" s="516"/>
      <c r="S5" s="516"/>
      <c r="T5" s="516"/>
      <c r="U5" s="516"/>
      <c r="V5" s="516"/>
      <c r="W5" s="516"/>
      <c r="X5" s="516"/>
      <c r="Y5" s="516"/>
      <c r="Z5" s="516"/>
      <c r="AA5" s="516"/>
      <c r="AB5" s="516"/>
      <c r="AC5" s="516"/>
      <c r="AD5" s="516"/>
      <c r="AE5" s="516"/>
      <c r="AF5" s="517" t="s">
        <v>294</v>
      </c>
      <c r="AG5" s="518"/>
      <c r="AH5" s="518"/>
      <c r="AI5" s="518"/>
      <c r="AJ5" s="518"/>
      <c r="AK5" s="518"/>
      <c r="AL5" s="518"/>
      <c r="AM5" s="518"/>
      <c r="AN5" s="518"/>
      <c r="AO5" s="518"/>
      <c r="AP5" s="518"/>
      <c r="AQ5" s="518"/>
      <c r="AR5" s="518"/>
      <c r="AS5" s="518"/>
      <c r="AT5" s="518"/>
      <c r="AU5" s="518"/>
    </row>
    <row r="6" spans="2:47" x14ac:dyDescent="0.15">
      <c r="B6" s="514"/>
      <c r="C6" s="514"/>
      <c r="D6" s="514"/>
      <c r="E6" s="514"/>
      <c r="F6" s="514"/>
      <c r="G6" s="515" t="s">
        <v>295</v>
      </c>
      <c r="H6" s="515"/>
      <c r="I6" s="515"/>
      <c r="J6" s="515"/>
      <c r="K6" s="515"/>
      <c r="L6" s="515"/>
      <c r="M6" s="519">
        <f>製品概要</f>
        <v>0</v>
      </c>
      <c r="N6" s="519"/>
      <c r="O6" s="519"/>
      <c r="P6" s="519"/>
      <c r="Q6" s="519"/>
      <c r="R6" s="519"/>
      <c r="S6" s="519"/>
      <c r="T6" s="519"/>
      <c r="U6" s="519"/>
      <c r="V6" s="519"/>
      <c r="W6" s="519"/>
      <c r="X6" s="519"/>
      <c r="Y6" s="519"/>
      <c r="Z6" s="519"/>
      <c r="AA6" s="519"/>
      <c r="AB6" s="519"/>
      <c r="AC6" s="519"/>
      <c r="AD6" s="519"/>
      <c r="AE6" s="519"/>
      <c r="AF6" s="518"/>
      <c r="AG6" s="518"/>
      <c r="AH6" s="518"/>
      <c r="AI6" s="518"/>
      <c r="AJ6" s="518"/>
      <c r="AK6" s="518"/>
      <c r="AL6" s="518"/>
      <c r="AM6" s="518"/>
      <c r="AN6" s="518"/>
      <c r="AO6" s="518"/>
      <c r="AP6" s="518"/>
      <c r="AQ6" s="518"/>
      <c r="AR6" s="518"/>
      <c r="AS6" s="518"/>
      <c r="AT6" s="518"/>
      <c r="AU6" s="518"/>
    </row>
    <row r="7" spans="2:47" x14ac:dyDescent="0.15">
      <c r="B7" s="514"/>
      <c r="C7" s="514"/>
      <c r="D7" s="514"/>
      <c r="E7" s="514"/>
      <c r="F7" s="514"/>
      <c r="G7" s="515"/>
      <c r="H7" s="515"/>
      <c r="I7" s="515"/>
      <c r="J7" s="515"/>
      <c r="K7" s="515"/>
      <c r="L7" s="515"/>
      <c r="M7" s="519"/>
      <c r="N7" s="519"/>
      <c r="O7" s="519"/>
      <c r="P7" s="519"/>
      <c r="Q7" s="519"/>
      <c r="R7" s="519"/>
      <c r="S7" s="519"/>
      <c r="T7" s="519"/>
      <c r="U7" s="519"/>
      <c r="V7" s="519"/>
      <c r="W7" s="519"/>
      <c r="X7" s="519"/>
      <c r="Y7" s="519"/>
      <c r="Z7" s="519"/>
      <c r="AA7" s="519"/>
      <c r="AB7" s="519"/>
      <c r="AC7" s="519"/>
      <c r="AD7" s="519"/>
      <c r="AE7" s="519"/>
      <c r="AF7" s="518"/>
      <c r="AG7" s="518"/>
      <c r="AH7" s="518"/>
      <c r="AI7" s="518"/>
      <c r="AJ7" s="518"/>
      <c r="AK7" s="518"/>
      <c r="AL7" s="518"/>
      <c r="AM7" s="518"/>
      <c r="AN7" s="518"/>
      <c r="AO7" s="518"/>
      <c r="AP7" s="518"/>
      <c r="AQ7" s="518"/>
      <c r="AR7" s="518"/>
      <c r="AS7" s="518"/>
      <c r="AT7" s="518"/>
      <c r="AU7" s="518"/>
    </row>
    <row r="8" spans="2:47" x14ac:dyDescent="0.15">
      <c r="B8" s="514"/>
      <c r="C8" s="514"/>
      <c r="D8" s="514"/>
      <c r="E8" s="514"/>
      <c r="F8" s="514"/>
      <c r="G8" s="515"/>
      <c r="H8" s="515"/>
      <c r="I8" s="515"/>
      <c r="J8" s="515"/>
      <c r="K8" s="515"/>
      <c r="L8" s="515"/>
      <c r="M8" s="519"/>
      <c r="N8" s="519"/>
      <c r="O8" s="519"/>
      <c r="P8" s="519"/>
      <c r="Q8" s="519"/>
      <c r="R8" s="519"/>
      <c r="S8" s="519"/>
      <c r="T8" s="519"/>
      <c r="U8" s="519"/>
      <c r="V8" s="519"/>
      <c r="W8" s="519"/>
      <c r="X8" s="519"/>
      <c r="Y8" s="519"/>
      <c r="Z8" s="519"/>
      <c r="AA8" s="519"/>
      <c r="AB8" s="519"/>
      <c r="AC8" s="519"/>
      <c r="AD8" s="519"/>
      <c r="AE8" s="519"/>
      <c r="AF8" s="518"/>
      <c r="AG8" s="518"/>
      <c r="AH8" s="518"/>
      <c r="AI8" s="518"/>
      <c r="AJ8" s="518"/>
      <c r="AK8" s="518"/>
      <c r="AL8" s="518"/>
      <c r="AM8" s="518"/>
      <c r="AN8" s="518"/>
      <c r="AO8" s="518"/>
      <c r="AP8" s="518"/>
      <c r="AQ8" s="518"/>
      <c r="AR8" s="518"/>
      <c r="AS8" s="518"/>
      <c r="AT8" s="518"/>
      <c r="AU8" s="518"/>
    </row>
    <row r="9" spans="2:47" x14ac:dyDescent="0.15">
      <c r="B9" s="514"/>
      <c r="C9" s="514"/>
      <c r="D9" s="514"/>
      <c r="E9" s="514"/>
      <c r="F9" s="514"/>
      <c r="G9" s="515"/>
      <c r="H9" s="515"/>
      <c r="I9" s="515"/>
      <c r="J9" s="515"/>
      <c r="K9" s="515"/>
      <c r="L9" s="515"/>
      <c r="M9" s="519"/>
      <c r="N9" s="519"/>
      <c r="O9" s="519"/>
      <c r="P9" s="519"/>
      <c r="Q9" s="519"/>
      <c r="R9" s="519"/>
      <c r="S9" s="519"/>
      <c r="T9" s="519"/>
      <c r="U9" s="519"/>
      <c r="V9" s="519"/>
      <c r="W9" s="519"/>
      <c r="X9" s="519"/>
      <c r="Y9" s="519"/>
      <c r="Z9" s="519"/>
      <c r="AA9" s="519"/>
      <c r="AB9" s="519"/>
      <c r="AC9" s="519"/>
      <c r="AD9" s="519"/>
      <c r="AE9" s="519"/>
      <c r="AF9" s="518"/>
      <c r="AG9" s="518"/>
      <c r="AH9" s="518"/>
      <c r="AI9" s="518"/>
      <c r="AJ9" s="518"/>
      <c r="AK9" s="518"/>
      <c r="AL9" s="518"/>
      <c r="AM9" s="518"/>
      <c r="AN9" s="518"/>
      <c r="AO9" s="518"/>
      <c r="AP9" s="518"/>
      <c r="AQ9" s="518"/>
      <c r="AR9" s="518"/>
      <c r="AS9" s="518"/>
      <c r="AT9" s="518"/>
      <c r="AU9" s="518"/>
    </row>
    <row r="10" spans="2:47" x14ac:dyDescent="0.15">
      <c r="B10" s="514"/>
      <c r="C10" s="514"/>
      <c r="D10" s="514"/>
      <c r="E10" s="514"/>
      <c r="F10" s="514"/>
      <c r="G10" s="515"/>
      <c r="H10" s="515"/>
      <c r="I10" s="515"/>
      <c r="J10" s="515"/>
      <c r="K10" s="515"/>
      <c r="L10" s="515"/>
      <c r="M10" s="519"/>
      <c r="N10" s="519"/>
      <c r="O10" s="519"/>
      <c r="P10" s="519"/>
      <c r="Q10" s="519"/>
      <c r="R10" s="519"/>
      <c r="S10" s="519"/>
      <c r="T10" s="519"/>
      <c r="U10" s="519"/>
      <c r="V10" s="519"/>
      <c r="W10" s="519"/>
      <c r="X10" s="519"/>
      <c r="Y10" s="519"/>
      <c r="Z10" s="519"/>
      <c r="AA10" s="519"/>
      <c r="AB10" s="519"/>
      <c r="AC10" s="519"/>
      <c r="AD10" s="519"/>
      <c r="AE10" s="519"/>
      <c r="AF10" s="518"/>
      <c r="AG10" s="518"/>
      <c r="AH10" s="518"/>
      <c r="AI10" s="518"/>
      <c r="AJ10" s="518"/>
      <c r="AK10" s="518"/>
      <c r="AL10" s="518"/>
      <c r="AM10" s="518"/>
      <c r="AN10" s="518"/>
      <c r="AO10" s="518"/>
      <c r="AP10" s="518"/>
      <c r="AQ10" s="518"/>
      <c r="AR10" s="518"/>
      <c r="AS10" s="518"/>
      <c r="AT10" s="518"/>
      <c r="AU10" s="518"/>
    </row>
    <row r="11" spans="2:47" x14ac:dyDescent="0.15">
      <c r="B11" s="514"/>
      <c r="C11" s="514"/>
      <c r="D11" s="514"/>
      <c r="E11" s="514"/>
      <c r="F11" s="514"/>
      <c r="G11" s="515"/>
      <c r="H11" s="515"/>
      <c r="I11" s="515"/>
      <c r="J11" s="515"/>
      <c r="K11" s="515"/>
      <c r="L11" s="515"/>
      <c r="M11" s="519"/>
      <c r="N11" s="519"/>
      <c r="O11" s="519"/>
      <c r="P11" s="519"/>
      <c r="Q11" s="519"/>
      <c r="R11" s="519"/>
      <c r="S11" s="519"/>
      <c r="T11" s="519"/>
      <c r="U11" s="519"/>
      <c r="V11" s="519"/>
      <c r="W11" s="519"/>
      <c r="X11" s="519"/>
      <c r="Y11" s="519"/>
      <c r="Z11" s="519"/>
      <c r="AA11" s="519"/>
      <c r="AB11" s="519"/>
      <c r="AC11" s="519"/>
      <c r="AD11" s="519"/>
      <c r="AE11" s="519"/>
      <c r="AF11" s="518"/>
      <c r="AG11" s="518"/>
      <c r="AH11" s="518"/>
      <c r="AI11" s="518"/>
      <c r="AJ11" s="518"/>
      <c r="AK11" s="518"/>
      <c r="AL11" s="518"/>
      <c r="AM11" s="518"/>
      <c r="AN11" s="518"/>
      <c r="AO11" s="518"/>
      <c r="AP11" s="518"/>
      <c r="AQ11" s="518"/>
      <c r="AR11" s="518"/>
      <c r="AS11" s="518"/>
      <c r="AT11" s="518"/>
      <c r="AU11" s="518"/>
    </row>
    <row r="12" spans="2:47" x14ac:dyDescent="0.15">
      <c r="B12" s="514"/>
      <c r="C12" s="514"/>
      <c r="D12" s="514"/>
      <c r="E12" s="514"/>
      <c r="F12" s="514"/>
      <c r="G12" s="515"/>
      <c r="H12" s="515"/>
      <c r="I12" s="515"/>
      <c r="J12" s="515"/>
      <c r="K12" s="515"/>
      <c r="L12" s="515"/>
      <c r="M12" s="519"/>
      <c r="N12" s="519"/>
      <c r="O12" s="519"/>
      <c r="P12" s="519"/>
      <c r="Q12" s="519"/>
      <c r="R12" s="519"/>
      <c r="S12" s="519"/>
      <c r="T12" s="519"/>
      <c r="U12" s="519"/>
      <c r="V12" s="519"/>
      <c r="W12" s="519"/>
      <c r="X12" s="519"/>
      <c r="Y12" s="519"/>
      <c r="Z12" s="519"/>
      <c r="AA12" s="519"/>
      <c r="AB12" s="519"/>
      <c r="AC12" s="519"/>
      <c r="AD12" s="519"/>
      <c r="AE12" s="519"/>
      <c r="AF12" s="518"/>
      <c r="AG12" s="518"/>
      <c r="AH12" s="518"/>
      <c r="AI12" s="518"/>
      <c r="AJ12" s="518"/>
      <c r="AK12" s="518"/>
      <c r="AL12" s="518"/>
      <c r="AM12" s="518"/>
      <c r="AN12" s="518"/>
      <c r="AO12" s="518"/>
      <c r="AP12" s="518"/>
      <c r="AQ12" s="518"/>
      <c r="AR12" s="518"/>
      <c r="AS12" s="518"/>
      <c r="AT12" s="518"/>
      <c r="AU12" s="518"/>
    </row>
    <row r="13" spans="2:47" x14ac:dyDescent="0.15">
      <c r="B13" s="514"/>
      <c r="C13" s="514"/>
      <c r="D13" s="514"/>
      <c r="E13" s="514"/>
      <c r="F13" s="514"/>
      <c r="G13" s="515"/>
      <c r="H13" s="515"/>
      <c r="I13" s="515"/>
      <c r="J13" s="515"/>
      <c r="K13" s="515"/>
      <c r="L13" s="515"/>
      <c r="M13" s="519"/>
      <c r="N13" s="519"/>
      <c r="O13" s="519"/>
      <c r="P13" s="519"/>
      <c r="Q13" s="519"/>
      <c r="R13" s="519"/>
      <c r="S13" s="519"/>
      <c r="T13" s="519"/>
      <c r="U13" s="519"/>
      <c r="V13" s="519"/>
      <c r="W13" s="519"/>
      <c r="X13" s="519"/>
      <c r="Y13" s="519"/>
      <c r="Z13" s="519"/>
      <c r="AA13" s="519"/>
      <c r="AB13" s="519"/>
      <c r="AC13" s="519"/>
      <c r="AD13" s="519"/>
      <c r="AE13" s="519"/>
      <c r="AF13" s="518"/>
      <c r="AG13" s="518"/>
      <c r="AH13" s="518"/>
      <c r="AI13" s="518"/>
      <c r="AJ13" s="518"/>
      <c r="AK13" s="518"/>
      <c r="AL13" s="518"/>
      <c r="AM13" s="518"/>
      <c r="AN13" s="518"/>
      <c r="AO13" s="518"/>
      <c r="AP13" s="518"/>
      <c r="AQ13" s="518"/>
      <c r="AR13" s="518"/>
      <c r="AS13" s="518"/>
      <c r="AT13" s="518"/>
      <c r="AU13" s="518"/>
    </row>
    <row r="14" spans="2:47" ht="23.25" customHeight="1" x14ac:dyDescent="0.15">
      <c r="B14" s="514"/>
      <c r="C14" s="514"/>
      <c r="D14" s="514"/>
      <c r="E14" s="514"/>
      <c r="F14" s="514"/>
      <c r="G14" s="515" t="s">
        <v>296</v>
      </c>
      <c r="H14" s="515"/>
      <c r="I14" s="515"/>
      <c r="J14" s="515"/>
      <c r="K14" s="515"/>
      <c r="L14" s="515"/>
      <c r="M14" s="516">
        <f>製品URL</f>
        <v>0</v>
      </c>
      <c r="N14" s="516"/>
      <c r="O14" s="516"/>
      <c r="P14" s="516"/>
      <c r="Q14" s="516"/>
      <c r="R14" s="516"/>
      <c r="S14" s="516"/>
      <c r="T14" s="516"/>
      <c r="U14" s="516"/>
      <c r="V14" s="516"/>
      <c r="W14" s="516"/>
      <c r="X14" s="516"/>
      <c r="Y14" s="516"/>
      <c r="Z14" s="516"/>
      <c r="AA14" s="516"/>
      <c r="AB14" s="516"/>
      <c r="AC14" s="516"/>
      <c r="AD14" s="516"/>
      <c r="AE14" s="516"/>
      <c r="AF14" s="518"/>
      <c r="AG14" s="518"/>
      <c r="AH14" s="518"/>
      <c r="AI14" s="518"/>
      <c r="AJ14" s="518"/>
      <c r="AK14" s="518"/>
      <c r="AL14" s="518"/>
      <c r="AM14" s="518"/>
      <c r="AN14" s="518"/>
      <c r="AO14" s="518"/>
      <c r="AP14" s="518"/>
      <c r="AQ14" s="518"/>
      <c r="AR14" s="518"/>
      <c r="AS14" s="518"/>
      <c r="AT14" s="518"/>
      <c r="AU14" s="518"/>
    </row>
    <row r="15" spans="2:47" ht="23.25" customHeight="1" x14ac:dyDescent="0.15">
      <c r="B15" s="514" t="s">
        <v>297</v>
      </c>
      <c r="C15" s="514"/>
      <c r="D15" s="514"/>
      <c r="E15" s="514"/>
      <c r="F15" s="514"/>
      <c r="G15" s="515" t="s">
        <v>298</v>
      </c>
      <c r="H15" s="515"/>
      <c r="I15" s="515"/>
      <c r="J15" s="515"/>
      <c r="K15" s="515"/>
      <c r="L15" s="515"/>
      <c r="M15" s="516">
        <f>製造事業者名</f>
        <v>0</v>
      </c>
      <c r="N15" s="516"/>
      <c r="O15" s="516"/>
      <c r="P15" s="516"/>
      <c r="Q15" s="516"/>
      <c r="R15" s="516"/>
      <c r="S15" s="516"/>
      <c r="T15" s="516"/>
      <c r="U15" s="516"/>
      <c r="V15" s="516"/>
      <c r="W15" s="516"/>
      <c r="X15" s="516"/>
      <c r="Y15" s="516"/>
      <c r="Z15" s="516"/>
      <c r="AA15" s="516"/>
      <c r="AB15" s="516"/>
      <c r="AC15" s="516"/>
      <c r="AD15" s="516"/>
      <c r="AE15" s="516"/>
      <c r="AF15" s="518"/>
      <c r="AG15" s="518"/>
      <c r="AH15" s="518"/>
      <c r="AI15" s="518"/>
      <c r="AJ15" s="518"/>
      <c r="AK15" s="518"/>
      <c r="AL15" s="518"/>
      <c r="AM15" s="518"/>
      <c r="AN15" s="518"/>
      <c r="AO15" s="518"/>
      <c r="AP15" s="518"/>
      <c r="AQ15" s="518"/>
      <c r="AR15" s="518"/>
      <c r="AS15" s="518"/>
      <c r="AT15" s="518"/>
      <c r="AU15" s="518"/>
    </row>
    <row r="16" spans="2:47" ht="23.25" customHeight="1" x14ac:dyDescent="0.15">
      <c r="B16" s="514"/>
      <c r="C16" s="514"/>
      <c r="D16" s="514"/>
      <c r="E16" s="514"/>
      <c r="F16" s="514"/>
      <c r="G16" s="515" t="s">
        <v>299</v>
      </c>
      <c r="H16" s="515"/>
      <c r="I16" s="515"/>
      <c r="J16" s="515"/>
      <c r="K16" s="515"/>
      <c r="L16" s="515"/>
      <c r="M16" s="516">
        <f>所在地</f>
        <v>0</v>
      </c>
      <c r="N16" s="516"/>
      <c r="O16" s="516"/>
      <c r="P16" s="516"/>
      <c r="Q16" s="516"/>
      <c r="R16" s="516"/>
      <c r="S16" s="516"/>
      <c r="T16" s="516"/>
      <c r="U16" s="516"/>
      <c r="V16" s="516"/>
      <c r="W16" s="516"/>
      <c r="X16" s="516"/>
      <c r="Y16" s="516"/>
      <c r="Z16" s="516"/>
      <c r="AA16" s="516"/>
      <c r="AB16" s="516"/>
      <c r="AC16" s="516"/>
      <c r="AD16" s="516"/>
      <c r="AE16" s="516"/>
      <c r="AF16" s="518"/>
      <c r="AG16" s="518"/>
      <c r="AH16" s="518"/>
      <c r="AI16" s="518"/>
      <c r="AJ16" s="518"/>
      <c r="AK16" s="518"/>
      <c r="AL16" s="518"/>
      <c r="AM16" s="518"/>
      <c r="AN16" s="518"/>
      <c r="AO16" s="518"/>
      <c r="AP16" s="518"/>
      <c r="AQ16" s="518"/>
      <c r="AR16" s="518"/>
      <c r="AS16" s="518"/>
      <c r="AT16" s="518"/>
      <c r="AU16" s="518"/>
    </row>
    <row r="17" spans="2:47" ht="23.25" customHeight="1" x14ac:dyDescent="0.15">
      <c r="B17" s="514"/>
      <c r="C17" s="514"/>
      <c r="D17" s="514"/>
      <c r="E17" s="514"/>
      <c r="F17" s="514"/>
      <c r="G17" s="515" t="s">
        <v>300</v>
      </c>
      <c r="H17" s="515"/>
      <c r="I17" s="515"/>
      <c r="J17" s="515"/>
      <c r="K17" s="515"/>
      <c r="L17" s="515"/>
      <c r="M17" s="516">
        <f>事業者URL</f>
        <v>0</v>
      </c>
      <c r="N17" s="516"/>
      <c r="O17" s="516"/>
      <c r="P17" s="516"/>
      <c r="Q17" s="516"/>
      <c r="R17" s="516"/>
      <c r="S17" s="516"/>
      <c r="T17" s="516"/>
      <c r="U17" s="516"/>
      <c r="V17" s="516"/>
      <c r="W17" s="516"/>
      <c r="X17" s="516"/>
      <c r="Y17" s="516"/>
      <c r="Z17" s="516"/>
      <c r="AA17" s="516"/>
      <c r="AB17" s="516"/>
      <c r="AC17" s="516"/>
      <c r="AD17" s="516"/>
      <c r="AE17" s="516"/>
      <c r="AF17" s="518"/>
      <c r="AG17" s="518"/>
      <c r="AH17" s="518"/>
      <c r="AI17" s="518"/>
      <c r="AJ17" s="518"/>
      <c r="AK17" s="518"/>
      <c r="AL17" s="518"/>
      <c r="AM17" s="518"/>
      <c r="AN17" s="518"/>
      <c r="AO17" s="518"/>
      <c r="AP17" s="518"/>
      <c r="AQ17" s="518"/>
      <c r="AR17" s="518"/>
      <c r="AS17" s="518"/>
      <c r="AT17" s="518"/>
      <c r="AU17" s="518"/>
    </row>
  </sheetData>
  <sheetProtection algorithmName="SHA-512" hashValue="3QKYKah5KEiDOzT5oLrkdlVIIQFqtxuq3H14g/niATE0uPALKV0llHp7J7zTyByFARypyAVgv6IccZSuWGIzCw==" saltValue="n3/CnjI9q4dsivaWqCro6Q==" spinCount="100000" sheet="1" scenarios="1" formatCells="0"/>
  <mergeCells count="24">
    <mergeCell ref="B5:F14"/>
    <mergeCell ref="G5:L5"/>
    <mergeCell ref="M5:AE5"/>
    <mergeCell ref="AF5:AU17"/>
    <mergeCell ref="G6:L13"/>
    <mergeCell ref="M6:AE13"/>
    <mergeCell ref="G14:L14"/>
    <mergeCell ref="M14:AE14"/>
    <mergeCell ref="B15:F17"/>
    <mergeCell ref="G15:L15"/>
    <mergeCell ref="M15:AE15"/>
    <mergeCell ref="G16:L16"/>
    <mergeCell ref="M16:AE16"/>
    <mergeCell ref="G17:L17"/>
    <mergeCell ref="M17:AE17"/>
    <mergeCell ref="B4:F4"/>
    <mergeCell ref="G4:L4"/>
    <mergeCell ref="M4:AE4"/>
    <mergeCell ref="AF4:AU4"/>
    <mergeCell ref="B2:F3"/>
    <mergeCell ref="G2:L2"/>
    <mergeCell ref="M2:AU2"/>
    <mergeCell ref="G3:L3"/>
    <mergeCell ref="M3:AU3"/>
  </mergeCells>
  <phoneticPr fontId="1"/>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C7E0F-4D6C-417D-AB1F-C734D8F3ADAD}">
  <sheetPr codeName="Sheet13">
    <tabColor rgb="FFFFFF00"/>
    <pageSetUpPr fitToPage="1"/>
  </sheetPr>
  <dimension ref="A1:AW98"/>
  <sheetViews>
    <sheetView view="pageBreakPreview" zoomScale="115" zoomScaleNormal="85" zoomScaleSheetLayoutView="115" workbookViewId="0">
      <selection sqref="A1:AW2"/>
    </sheetView>
  </sheetViews>
  <sheetFormatPr defaultColWidth="8.875" defaultRowHeight="12" x14ac:dyDescent="0.15"/>
  <cols>
    <col min="1" max="49" width="2.125" style="123" customWidth="1"/>
    <col min="50" max="16384" width="8.875" style="123"/>
  </cols>
  <sheetData>
    <row r="1" spans="1:49" ht="12" customHeight="1" x14ac:dyDescent="0.15">
      <c r="A1" s="521" t="s">
        <v>301</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3"/>
    </row>
    <row r="2" spans="1:49" ht="12" customHeight="1" x14ac:dyDescent="0.15">
      <c r="A2" s="524"/>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6"/>
    </row>
    <row r="3" spans="1:49" x14ac:dyDescent="0.15">
      <c r="A3" s="350" t="str">
        <f>"【"&amp;製品カテゴリ&amp;"】"</f>
        <v>【AGV・AMR】</v>
      </c>
      <c r="B3" s="350"/>
      <c r="C3" s="350"/>
      <c r="D3" s="350"/>
      <c r="E3" s="350"/>
      <c r="F3" s="350"/>
      <c r="G3" s="350"/>
      <c r="H3" s="350"/>
      <c r="I3" s="350"/>
      <c r="J3" s="350"/>
      <c r="K3" s="350"/>
      <c r="L3" s="350"/>
      <c r="M3" s="350"/>
      <c r="N3" s="350"/>
      <c r="O3" s="350"/>
      <c r="P3" s="350"/>
      <c r="Q3" s="350"/>
      <c r="R3" s="350"/>
      <c r="S3" s="350"/>
      <c r="T3" s="350"/>
      <c r="U3" s="350"/>
      <c r="V3" s="350"/>
      <c r="W3" s="350"/>
      <c r="X3" s="350"/>
      <c r="Y3" s="125"/>
      <c r="Z3" s="125"/>
      <c r="AA3" s="125"/>
      <c r="AB3" s="125"/>
      <c r="AC3" s="125"/>
      <c r="AD3" s="125"/>
      <c r="AE3" s="125"/>
      <c r="AF3" s="125"/>
      <c r="AG3" s="125"/>
      <c r="AH3" s="125"/>
      <c r="AI3" s="125"/>
      <c r="AJ3" s="125"/>
      <c r="AK3" s="125"/>
      <c r="AL3" s="125"/>
      <c r="AM3" s="125"/>
      <c r="AN3" s="125"/>
      <c r="AO3" s="125"/>
      <c r="AP3" s="125"/>
      <c r="AQ3" s="125"/>
      <c r="AR3" s="125"/>
      <c r="AS3" s="290" t="s">
        <v>225</v>
      </c>
      <c r="AT3" s="290"/>
      <c r="AU3" s="290"/>
      <c r="AV3" s="290"/>
      <c r="AW3" s="290"/>
    </row>
    <row r="4" spans="1:49" x14ac:dyDescent="0.15">
      <c r="A4" s="293"/>
      <c r="B4" s="293"/>
      <c r="C4" s="293"/>
      <c r="D4" s="293"/>
      <c r="E4" s="293"/>
      <c r="F4" s="293"/>
      <c r="G4" s="293"/>
      <c r="H4" s="293"/>
      <c r="I4" s="293"/>
      <c r="J4" s="293"/>
      <c r="K4" s="293"/>
      <c r="L4" s="293"/>
      <c r="M4" s="293"/>
      <c r="N4" s="293"/>
      <c r="O4" s="293"/>
      <c r="P4" s="293"/>
      <c r="Q4" s="293"/>
      <c r="R4" s="293"/>
      <c r="S4" s="293"/>
      <c r="T4" s="293"/>
      <c r="U4" s="293"/>
      <c r="V4" s="293"/>
      <c r="W4" s="293"/>
      <c r="X4" s="293"/>
      <c r="Y4" s="125"/>
      <c r="Z4" s="125"/>
      <c r="AA4" s="125"/>
      <c r="AB4" s="125"/>
      <c r="AC4" s="125"/>
      <c r="AD4" s="125"/>
      <c r="AE4" s="125"/>
      <c r="AF4" s="125"/>
      <c r="AG4" s="125"/>
      <c r="AH4" s="125"/>
      <c r="AI4" s="125"/>
      <c r="AJ4" s="125"/>
      <c r="AK4" s="125"/>
      <c r="AL4" s="125"/>
      <c r="AM4" s="125"/>
      <c r="AN4" s="125"/>
      <c r="AO4" s="125"/>
      <c r="AP4" s="125"/>
      <c r="AQ4" s="125"/>
      <c r="AR4" s="125"/>
      <c r="AS4" s="291"/>
      <c r="AT4" s="291"/>
      <c r="AU4" s="291"/>
      <c r="AV4" s="291"/>
      <c r="AW4" s="291"/>
    </row>
    <row r="5" spans="1:49" x14ac:dyDescent="0.15">
      <c r="A5" s="125"/>
      <c r="B5" s="293" t="s">
        <v>302</v>
      </c>
      <c r="C5" s="293"/>
      <c r="D5" s="293"/>
      <c r="E5" s="293"/>
      <c r="F5" s="293"/>
      <c r="G5" s="293"/>
      <c r="H5" s="293"/>
      <c r="I5" s="293"/>
      <c r="J5" s="293"/>
      <c r="K5" s="293"/>
      <c r="L5" s="293"/>
      <c r="M5" s="293"/>
      <c r="N5" s="293"/>
      <c r="O5" s="293"/>
      <c r="P5" s="293"/>
      <c r="Q5" s="293"/>
      <c r="R5" s="293"/>
      <c r="S5" s="293"/>
      <c r="T5" s="293"/>
      <c r="U5" s="293"/>
      <c r="V5" s="293"/>
      <c r="W5" s="293"/>
      <c r="X5" s="293"/>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row>
    <row r="6" spans="1:49" x14ac:dyDescent="0.15">
      <c r="A6" s="125"/>
      <c r="B6" s="293"/>
      <c r="C6" s="293"/>
      <c r="D6" s="293"/>
      <c r="E6" s="293"/>
      <c r="F6" s="293"/>
      <c r="G6" s="293"/>
      <c r="H6" s="293"/>
      <c r="I6" s="293"/>
      <c r="J6" s="293"/>
      <c r="K6" s="293"/>
      <c r="L6" s="293"/>
      <c r="M6" s="293"/>
      <c r="N6" s="293"/>
      <c r="O6" s="293"/>
      <c r="P6" s="293"/>
      <c r="Q6" s="293"/>
      <c r="R6" s="293"/>
      <c r="S6" s="293"/>
      <c r="T6" s="293"/>
      <c r="U6" s="293"/>
      <c r="V6" s="293"/>
      <c r="W6" s="293"/>
      <c r="X6" s="293"/>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row>
    <row r="7" spans="1:49" x14ac:dyDescent="0.15">
      <c r="A7" s="125"/>
      <c r="B7" s="369" t="s">
        <v>434</v>
      </c>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125"/>
    </row>
    <row r="8" spans="1:49" x14ac:dyDescent="0.15">
      <c r="A8" s="125"/>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125"/>
    </row>
    <row r="9" spans="1:49" x14ac:dyDescent="0.15">
      <c r="A9" s="125"/>
      <c r="B9" s="520" t="s">
        <v>303</v>
      </c>
      <c r="C9" s="520"/>
      <c r="D9" s="295" t="s">
        <v>304</v>
      </c>
      <c r="E9" s="296"/>
      <c r="F9" s="347"/>
      <c r="G9" s="520" t="s">
        <v>305</v>
      </c>
      <c r="H9" s="520"/>
      <c r="I9" s="520"/>
      <c r="J9" s="520"/>
      <c r="K9" s="520"/>
      <c r="L9" s="520"/>
      <c r="M9" s="520"/>
      <c r="N9" s="520"/>
      <c r="O9" s="520"/>
      <c r="P9" s="520"/>
      <c r="Q9" s="520"/>
      <c r="R9" s="520"/>
      <c r="S9" s="520"/>
      <c r="T9" s="520"/>
      <c r="U9" s="520"/>
      <c r="V9" s="520"/>
      <c r="W9" s="520"/>
      <c r="X9" s="520"/>
      <c r="Y9" s="520" t="s">
        <v>306</v>
      </c>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125"/>
    </row>
    <row r="10" spans="1:49" x14ac:dyDescent="0.15">
      <c r="A10" s="125"/>
      <c r="B10" s="520"/>
      <c r="C10" s="520"/>
      <c r="D10" s="297"/>
      <c r="E10" s="298"/>
      <c r="F10" s="348"/>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125"/>
    </row>
    <row r="11" spans="1:49" x14ac:dyDescent="0.15">
      <c r="A11" s="125"/>
      <c r="B11" s="527" t="s">
        <v>307</v>
      </c>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9"/>
      <c r="AW11" s="125"/>
    </row>
    <row r="12" spans="1:49" x14ac:dyDescent="0.15">
      <c r="A12" s="125"/>
      <c r="B12" s="530"/>
      <c r="C12" s="531"/>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2"/>
      <c r="AW12" s="125"/>
    </row>
    <row r="13" spans="1:49" x14ac:dyDescent="0.15">
      <c r="A13" s="125"/>
      <c r="B13" s="412">
        <v>1</v>
      </c>
      <c r="C13" s="413"/>
      <c r="D13" s="186"/>
      <c r="E13" s="186"/>
      <c r="F13" s="186"/>
      <c r="G13" s="458" t="s">
        <v>308</v>
      </c>
      <c r="H13" s="459"/>
      <c r="I13" s="459"/>
      <c r="J13" s="459"/>
      <c r="K13" s="459"/>
      <c r="L13" s="459"/>
      <c r="M13" s="459"/>
      <c r="N13" s="459"/>
      <c r="O13" s="459"/>
      <c r="P13" s="459"/>
      <c r="Q13" s="459"/>
      <c r="R13" s="459"/>
      <c r="S13" s="459"/>
      <c r="T13" s="459"/>
      <c r="U13" s="459"/>
      <c r="V13" s="459"/>
      <c r="W13" s="459"/>
      <c r="X13" s="533"/>
      <c r="Y13" s="458" t="s">
        <v>309</v>
      </c>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533"/>
      <c r="AW13" s="125"/>
    </row>
    <row r="14" spans="1:49" x14ac:dyDescent="0.15">
      <c r="A14" s="125"/>
      <c r="B14" s="412"/>
      <c r="C14" s="413"/>
      <c r="D14" s="186"/>
      <c r="E14" s="186"/>
      <c r="F14" s="186"/>
      <c r="G14" s="458"/>
      <c r="H14" s="459"/>
      <c r="I14" s="459"/>
      <c r="J14" s="459"/>
      <c r="K14" s="459"/>
      <c r="L14" s="459"/>
      <c r="M14" s="459"/>
      <c r="N14" s="459"/>
      <c r="O14" s="459"/>
      <c r="P14" s="459"/>
      <c r="Q14" s="459"/>
      <c r="R14" s="459"/>
      <c r="S14" s="459"/>
      <c r="T14" s="459"/>
      <c r="U14" s="459"/>
      <c r="V14" s="459"/>
      <c r="W14" s="459"/>
      <c r="X14" s="533"/>
      <c r="Y14" s="458"/>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533"/>
      <c r="AW14" s="125"/>
    </row>
    <row r="15" spans="1:49" x14ac:dyDescent="0.15">
      <c r="A15" s="125"/>
      <c r="B15" s="414"/>
      <c r="C15" s="415"/>
      <c r="D15" s="187"/>
      <c r="E15" s="187"/>
      <c r="F15" s="187"/>
      <c r="G15" s="366"/>
      <c r="H15" s="367"/>
      <c r="I15" s="367"/>
      <c r="J15" s="367"/>
      <c r="K15" s="367"/>
      <c r="L15" s="367"/>
      <c r="M15" s="367"/>
      <c r="N15" s="367"/>
      <c r="O15" s="367"/>
      <c r="P15" s="367"/>
      <c r="Q15" s="367"/>
      <c r="R15" s="367"/>
      <c r="S15" s="367"/>
      <c r="T15" s="367"/>
      <c r="U15" s="367"/>
      <c r="V15" s="367"/>
      <c r="W15" s="367"/>
      <c r="X15" s="368"/>
      <c r="Y15" s="366"/>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8"/>
      <c r="AW15" s="125"/>
    </row>
    <row r="16" spans="1:49" x14ac:dyDescent="0.15">
      <c r="A16" s="125"/>
      <c r="B16" s="410">
        <v>2</v>
      </c>
      <c r="C16" s="411"/>
      <c r="D16" s="185"/>
      <c r="E16" s="185"/>
      <c r="F16" s="185"/>
      <c r="G16" s="363" t="s">
        <v>310</v>
      </c>
      <c r="H16" s="364"/>
      <c r="I16" s="364"/>
      <c r="J16" s="364"/>
      <c r="K16" s="364"/>
      <c r="L16" s="364"/>
      <c r="M16" s="364"/>
      <c r="N16" s="364"/>
      <c r="O16" s="364"/>
      <c r="P16" s="364"/>
      <c r="Q16" s="364"/>
      <c r="R16" s="364"/>
      <c r="S16" s="364"/>
      <c r="T16" s="364"/>
      <c r="U16" s="364"/>
      <c r="V16" s="364"/>
      <c r="W16" s="364"/>
      <c r="X16" s="365"/>
      <c r="Y16" s="363" t="s">
        <v>311</v>
      </c>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5"/>
      <c r="AW16" s="125"/>
    </row>
    <row r="17" spans="1:49" x14ac:dyDescent="0.15">
      <c r="A17" s="125"/>
      <c r="B17" s="412"/>
      <c r="C17" s="413"/>
      <c r="D17" s="186"/>
      <c r="E17" s="186"/>
      <c r="F17" s="186"/>
      <c r="G17" s="458"/>
      <c r="H17" s="459"/>
      <c r="I17" s="459"/>
      <c r="J17" s="459"/>
      <c r="K17" s="459"/>
      <c r="L17" s="459"/>
      <c r="M17" s="459"/>
      <c r="N17" s="459"/>
      <c r="O17" s="459"/>
      <c r="P17" s="459"/>
      <c r="Q17" s="459"/>
      <c r="R17" s="459"/>
      <c r="S17" s="459"/>
      <c r="T17" s="459"/>
      <c r="U17" s="459"/>
      <c r="V17" s="459"/>
      <c r="W17" s="459"/>
      <c r="X17" s="533"/>
      <c r="Y17" s="458"/>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533"/>
      <c r="AW17" s="125"/>
    </row>
    <row r="18" spans="1:49" x14ac:dyDescent="0.15">
      <c r="A18" s="125"/>
      <c r="B18" s="414"/>
      <c r="C18" s="415"/>
      <c r="D18" s="187"/>
      <c r="E18" s="187"/>
      <c r="F18" s="187"/>
      <c r="G18" s="366"/>
      <c r="H18" s="367"/>
      <c r="I18" s="367"/>
      <c r="J18" s="367"/>
      <c r="K18" s="367"/>
      <c r="L18" s="367"/>
      <c r="M18" s="367"/>
      <c r="N18" s="367"/>
      <c r="O18" s="367"/>
      <c r="P18" s="367"/>
      <c r="Q18" s="367"/>
      <c r="R18" s="367"/>
      <c r="S18" s="367"/>
      <c r="T18" s="367"/>
      <c r="U18" s="367"/>
      <c r="V18" s="367"/>
      <c r="W18" s="367"/>
      <c r="X18" s="368"/>
      <c r="Y18" s="366"/>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8"/>
      <c r="AW18" s="125"/>
    </row>
    <row r="19" spans="1:49" x14ac:dyDescent="0.15">
      <c r="A19" s="125"/>
      <c r="B19" s="410">
        <v>3</v>
      </c>
      <c r="C19" s="411"/>
      <c r="D19" s="185"/>
      <c r="E19" s="185"/>
      <c r="F19" s="185"/>
      <c r="G19" s="474" t="s">
        <v>312</v>
      </c>
      <c r="H19" s="475"/>
      <c r="I19" s="475"/>
      <c r="J19" s="475"/>
      <c r="K19" s="475"/>
      <c r="L19" s="475"/>
      <c r="M19" s="475"/>
      <c r="N19" s="475"/>
      <c r="O19" s="475"/>
      <c r="P19" s="475"/>
      <c r="Q19" s="475"/>
      <c r="R19" s="475"/>
      <c r="S19" s="475"/>
      <c r="T19" s="475"/>
      <c r="U19" s="475"/>
      <c r="V19" s="475"/>
      <c r="W19" s="475"/>
      <c r="X19" s="534"/>
      <c r="Y19" s="363" t="s">
        <v>313</v>
      </c>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5"/>
      <c r="AW19" s="125"/>
    </row>
    <row r="20" spans="1:49" x14ac:dyDescent="0.15">
      <c r="A20" s="125"/>
      <c r="B20" s="412"/>
      <c r="C20" s="413"/>
      <c r="D20" s="186"/>
      <c r="E20" s="186"/>
      <c r="F20" s="186"/>
      <c r="G20" s="535"/>
      <c r="H20" s="536"/>
      <c r="I20" s="536"/>
      <c r="J20" s="536"/>
      <c r="K20" s="536"/>
      <c r="L20" s="536"/>
      <c r="M20" s="536"/>
      <c r="N20" s="536"/>
      <c r="O20" s="536"/>
      <c r="P20" s="536"/>
      <c r="Q20" s="536"/>
      <c r="R20" s="536"/>
      <c r="S20" s="536"/>
      <c r="T20" s="536"/>
      <c r="U20" s="536"/>
      <c r="V20" s="536"/>
      <c r="W20" s="536"/>
      <c r="X20" s="537"/>
      <c r="Y20" s="458"/>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533"/>
      <c r="AW20" s="125"/>
    </row>
    <row r="21" spans="1:49" x14ac:dyDescent="0.15">
      <c r="A21" s="125"/>
      <c r="B21" s="414"/>
      <c r="C21" s="415"/>
      <c r="D21" s="187"/>
      <c r="E21" s="187"/>
      <c r="F21" s="187"/>
      <c r="G21" s="538"/>
      <c r="H21" s="539"/>
      <c r="I21" s="539"/>
      <c r="J21" s="539"/>
      <c r="K21" s="539"/>
      <c r="L21" s="539"/>
      <c r="M21" s="539"/>
      <c r="N21" s="539"/>
      <c r="O21" s="539"/>
      <c r="P21" s="539"/>
      <c r="Q21" s="539"/>
      <c r="R21" s="539"/>
      <c r="S21" s="539"/>
      <c r="T21" s="539"/>
      <c r="U21" s="539"/>
      <c r="V21" s="539"/>
      <c r="W21" s="539"/>
      <c r="X21" s="540"/>
      <c r="Y21" s="366"/>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8"/>
      <c r="AW21" s="125"/>
    </row>
    <row r="22" spans="1:49" x14ac:dyDescent="0.15">
      <c r="A22" s="125"/>
      <c r="B22" s="410">
        <v>4</v>
      </c>
      <c r="C22" s="411"/>
      <c r="D22" s="185"/>
      <c r="E22" s="185"/>
      <c r="F22" s="185"/>
      <c r="G22" s="474" t="s">
        <v>314</v>
      </c>
      <c r="H22" s="475"/>
      <c r="I22" s="475"/>
      <c r="J22" s="475"/>
      <c r="K22" s="475"/>
      <c r="L22" s="475"/>
      <c r="M22" s="475"/>
      <c r="N22" s="475"/>
      <c r="O22" s="475"/>
      <c r="P22" s="475"/>
      <c r="Q22" s="475"/>
      <c r="R22" s="475"/>
      <c r="S22" s="475"/>
      <c r="T22" s="475"/>
      <c r="U22" s="475"/>
      <c r="V22" s="475"/>
      <c r="W22" s="475"/>
      <c r="X22" s="534"/>
      <c r="Y22" s="363" t="s">
        <v>315</v>
      </c>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5"/>
      <c r="AW22" s="125"/>
    </row>
    <row r="23" spans="1:49" x14ac:dyDescent="0.15">
      <c r="A23" s="125"/>
      <c r="B23" s="412"/>
      <c r="C23" s="413"/>
      <c r="D23" s="186"/>
      <c r="E23" s="186"/>
      <c r="F23" s="186"/>
      <c r="G23" s="535"/>
      <c r="H23" s="536"/>
      <c r="I23" s="536"/>
      <c r="J23" s="536"/>
      <c r="K23" s="536"/>
      <c r="L23" s="536"/>
      <c r="M23" s="536"/>
      <c r="N23" s="536"/>
      <c r="O23" s="536"/>
      <c r="P23" s="536"/>
      <c r="Q23" s="536"/>
      <c r="R23" s="536"/>
      <c r="S23" s="536"/>
      <c r="T23" s="536"/>
      <c r="U23" s="536"/>
      <c r="V23" s="536"/>
      <c r="W23" s="536"/>
      <c r="X23" s="537"/>
      <c r="Y23" s="458"/>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533"/>
      <c r="AW23" s="125"/>
    </row>
    <row r="24" spans="1:49" x14ac:dyDescent="0.15">
      <c r="A24" s="125"/>
      <c r="B24" s="412"/>
      <c r="C24" s="413"/>
      <c r="D24" s="186"/>
      <c r="E24" s="186"/>
      <c r="F24" s="186"/>
      <c r="G24" s="535"/>
      <c r="H24" s="536"/>
      <c r="I24" s="536"/>
      <c r="J24" s="536"/>
      <c r="K24" s="536"/>
      <c r="L24" s="536"/>
      <c r="M24" s="536"/>
      <c r="N24" s="536"/>
      <c r="O24" s="536"/>
      <c r="P24" s="536"/>
      <c r="Q24" s="536"/>
      <c r="R24" s="536"/>
      <c r="S24" s="536"/>
      <c r="T24" s="536"/>
      <c r="U24" s="536"/>
      <c r="V24" s="536"/>
      <c r="W24" s="536"/>
      <c r="X24" s="537"/>
      <c r="Y24" s="458"/>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533"/>
      <c r="AW24" s="125"/>
    </row>
    <row r="25" spans="1:49" x14ac:dyDescent="0.15">
      <c r="A25" s="125"/>
      <c r="B25" s="414"/>
      <c r="C25" s="415"/>
      <c r="D25" s="187"/>
      <c r="E25" s="187"/>
      <c r="F25" s="187"/>
      <c r="G25" s="538"/>
      <c r="H25" s="539"/>
      <c r="I25" s="539"/>
      <c r="J25" s="539"/>
      <c r="K25" s="539"/>
      <c r="L25" s="539"/>
      <c r="M25" s="539"/>
      <c r="N25" s="539"/>
      <c r="O25" s="539"/>
      <c r="P25" s="539"/>
      <c r="Q25" s="539"/>
      <c r="R25" s="539"/>
      <c r="S25" s="539"/>
      <c r="T25" s="539"/>
      <c r="U25" s="539"/>
      <c r="V25" s="539"/>
      <c r="W25" s="539"/>
      <c r="X25" s="540"/>
      <c r="Y25" s="366"/>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8"/>
      <c r="AW25" s="125"/>
    </row>
    <row r="26" spans="1:49" x14ac:dyDescent="0.15">
      <c r="A26" s="125"/>
      <c r="B26" s="527" t="s">
        <v>316</v>
      </c>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528"/>
      <c r="AV26" s="529"/>
      <c r="AW26" s="125"/>
    </row>
    <row r="27" spans="1:49" x14ac:dyDescent="0.15">
      <c r="A27" s="125"/>
      <c r="B27" s="530"/>
      <c r="C27" s="531"/>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2"/>
      <c r="AW27" s="125"/>
    </row>
    <row r="28" spans="1:49" ht="12" customHeight="1" x14ac:dyDescent="0.15">
      <c r="A28" s="125"/>
      <c r="B28" s="410">
        <v>5</v>
      </c>
      <c r="C28" s="411"/>
      <c r="D28" s="185"/>
      <c r="E28" s="185"/>
      <c r="F28" s="185"/>
      <c r="G28" s="474" t="s">
        <v>317</v>
      </c>
      <c r="H28" s="475"/>
      <c r="I28" s="475"/>
      <c r="J28" s="475"/>
      <c r="K28" s="475"/>
      <c r="L28" s="475"/>
      <c r="M28" s="475"/>
      <c r="N28" s="475"/>
      <c r="O28" s="475"/>
      <c r="P28" s="475"/>
      <c r="Q28" s="475"/>
      <c r="R28" s="475"/>
      <c r="S28" s="475"/>
      <c r="T28" s="475"/>
      <c r="U28" s="475"/>
      <c r="V28" s="475"/>
      <c r="W28" s="475"/>
      <c r="X28" s="534"/>
      <c r="Y28" s="363" t="s">
        <v>318</v>
      </c>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5"/>
      <c r="AW28" s="125"/>
    </row>
    <row r="29" spans="1:49" x14ac:dyDescent="0.15">
      <c r="A29" s="125"/>
      <c r="B29" s="412"/>
      <c r="C29" s="413"/>
      <c r="D29" s="186"/>
      <c r="E29" s="186"/>
      <c r="F29" s="186"/>
      <c r="G29" s="535"/>
      <c r="H29" s="536"/>
      <c r="I29" s="536"/>
      <c r="J29" s="536"/>
      <c r="K29" s="536"/>
      <c r="L29" s="536"/>
      <c r="M29" s="536"/>
      <c r="N29" s="536"/>
      <c r="O29" s="536"/>
      <c r="P29" s="536"/>
      <c r="Q29" s="536"/>
      <c r="R29" s="536"/>
      <c r="S29" s="536"/>
      <c r="T29" s="536"/>
      <c r="U29" s="536"/>
      <c r="V29" s="536"/>
      <c r="W29" s="536"/>
      <c r="X29" s="537"/>
      <c r="Y29" s="458"/>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533"/>
      <c r="AW29" s="125"/>
    </row>
    <row r="30" spans="1:49" x14ac:dyDescent="0.15">
      <c r="A30" s="125"/>
      <c r="B30" s="414"/>
      <c r="C30" s="415"/>
      <c r="D30" s="187"/>
      <c r="E30" s="187"/>
      <c r="F30" s="187"/>
      <c r="G30" s="538"/>
      <c r="H30" s="539"/>
      <c r="I30" s="539"/>
      <c r="J30" s="539"/>
      <c r="K30" s="539"/>
      <c r="L30" s="539"/>
      <c r="M30" s="539"/>
      <c r="N30" s="539"/>
      <c r="O30" s="539"/>
      <c r="P30" s="539"/>
      <c r="Q30" s="539"/>
      <c r="R30" s="539"/>
      <c r="S30" s="539"/>
      <c r="T30" s="539"/>
      <c r="U30" s="539"/>
      <c r="V30" s="539"/>
      <c r="W30" s="539"/>
      <c r="X30" s="540"/>
      <c r="Y30" s="366"/>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8"/>
      <c r="AW30" s="125"/>
    </row>
    <row r="31" spans="1:49" x14ac:dyDescent="0.15">
      <c r="A31" s="125"/>
      <c r="B31" s="410">
        <v>6</v>
      </c>
      <c r="C31" s="411"/>
      <c r="D31" s="185"/>
      <c r="E31" s="185"/>
      <c r="F31" s="185"/>
      <c r="G31" s="363" t="s">
        <v>319</v>
      </c>
      <c r="H31" s="364"/>
      <c r="I31" s="364"/>
      <c r="J31" s="364"/>
      <c r="K31" s="364"/>
      <c r="L31" s="364"/>
      <c r="M31" s="364"/>
      <c r="N31" s="364"/>
      <c r="O31" s="364"/>
      <c r="P31" s="364"/>
      <c r="Q31" s="364"/>
      <c r="R31" s="364"/>
      <c r="S31" s="364"/>
      <c r="T31" s="364"/>
      <c r="U31" s="364"/>
      <c r="V31" s="364"/>
      <c r="W31" s="364"/>
      <c r="X31" s="365"/>
      <c r="Y31" s="363" t="s">
        <v>320</v>
      </c>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5"/>
      <c r="AW31" s="125"/>
    </row>
    <row r="32" spans="1:49" x14ac:dyDescent="0.15">
      <c r="A32" s="125"/>
      <c r="B32" s="412"/>
      <c r="C32" s="413"/>
      <c r="D32" s="186"/>
      <c r="E32" s="186"/>
      <c r="F32" s="186"/>
      <c r="G32" s="458"/>
      <c r="H32" s="459"/>
      <c r="I32" s="459"/>
      <c r="J32" s="459"/>
      <c r="K32" s="459"/>
      <c r="L32" s="459"/>
      <c r="M32" s="459"/>
      <c r="N32" s="459"/>
      <c r="O32" s="459"/>
      <c r="P32" s="459"/>
      <c r="Q32" s="459"/>
      <c r="R32" s="459"/>
      <c r="S32" s="459"/>
      <c r="T32" s="459"/>
      <c r="U32" s="459"/>
      <c r="V32" s="459"/>
      <c r="W32" s="459"/>
      <c r="X32" s="533"/>
      <c r="Y32" s="458"/>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533"/>
      <c r="AW32" s="125"/>
    </row>
    <row r="33" spans="1:49" x14ac:dyDescent="0.15">
      <c r="A33" s="125"/>
      <c r="B33" s="412"/>
      <c r="C33" s="413"/>
      <c r="D33" s="186"/>
      <c r="E33" s="186"/>
      <c r="F33" s="186"/>
      <c r="G33" s="458"/>
      <c r="H33" s="459"/>
      <c r="I33" s="459"/>
      <c r="J33" s="459"/>
      <c r="K33" s="459"/>
      <c r="L33" s="459"/>
      <c r="M33" s="459"/>
      <c r="N33" s="459"/>
      <c r="O33" s="459"/>
      <c r="P33" s="459"/>
      <c r="Q33" s="459"/>
      <c r="R33" s="459"/>
      <c r="S33" s="459"/>
      <c r="T33" s="459"/>
      <c r="U33" s="459"/>
      <c r="V33" s="459"/>
      <c r="W33" s="459"/>
      <c r="X33" s="533"/>
      <c r="Y33" s="458"/>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533"/>
      <c r="AW33" s="125"/>
    </row>
    <row r="34" spans="1:49" x14ac:dyDescent="0.15">
      <c r="A34" s="125"/>
      <c r="B34" s="412"/>
      <c r="C34" s="413"/>
      <c r="D34" s="186"/>
      <c r="E34" s="186"/>
      <c r="F34" s="186"/>
      <c r="G34" s="458"/>
      <c r="H34" s="459"/>
      <c r="I34" s="459"/>
      <c r="J34" s="459"/>
      <c r="K34" s="459"/>
      <c r="L34" s="459"/>
      <c r="M34" s="459"/>
      <c r="N34" s="459"/>
      <c r="O34" s="459"/>
      <c r="P34" s="459"/>
      <c r="Q34" s="459"/>
      <c r="R34" s="459"/>
      <c r="S34" s="459"/>
      <c r="T34" s="459"/>
      <c r="U34" s="459"/>
      <c r="V34" s="459"/>
      <c r="W34" s="459"/>
      <c r="X34" s="533"/>
      <c r="Y34" s="458"/>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533"/>
      <c r="AW34" s="125"/>
    </row>
    <row r="35" spans="1:49" x14ac:dyDescent="0.15">
      <c r="A35" s="125"/>
      <c r="B35" s="412"/>
      <c r="C35" s="413"/>
      <c r="D35" s="186"/>
      <c r="E35" s="186"/>
      <c r="F35" s="186"/>
      <c r="G35" s="458"/>
      <c r="H35" s="459"/>
      <c r="I35" s="459"/>
      <c r="J35" s="459"/>
      <c r="K35" s="459"/>
      <c r="L35" s="459"/>
      <c r="M35" s="459"/>
      <c r="N35" s="459"/>
      <c r="O35" s="459"/>
      <c r="P35" s="459"/>
      <c r="Q35" s="459"/>
      <c r="R35" s="459"/>
      <c r="S35" s="459"/>
      <c r="T35" s="459"/>
      <c r="U35" s="459"/>
      <c r="V35" s="459"/>
      <c r="W35" s="459"/>
      <c r="X35" s="533"/>
      <c r="Y35" s="458"/>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533"/>
      <c r="AW35" s="125"/>
    </row>
    <row r="36" spans="1:49" x14ac:dyDescent="0.15">
      <c r="A36" s="125"/>
      <c r="B36" s="412"/>
      <c r="C36" s="413"/>
      <c r="D36" s="186"/>
      <c r="E36" s="186"/>
      <c r="F36" s="186"/>
      <c r="G36" s="458"/>
      <c r="H36" s="459"/>
      <c r="I36" s="459"/>
      <c r="J36" s="459"/>
      <c r="K36" s="459"/>
      <c r="L36" s="459"/>
      <c r="M36" s="459"/>
      <c r="N36" s="459"/>
      <c r="O36" s="459"/>
      <c r="P36" s="459"/>
      <c r="Q36" s="459"/>
      <c r="R36" s="459"/>
      <c r="S36" s="459"/>
      <c r="T36" s="459"/>
      <c r="U36" s="459"/>
      <c r="V36" s="459"/>
      <c r="W36" s="459"/>
      <c r="X36" s="533"/>
      <c r="Y36" s="458"/>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533"/>
      <c r="AW36" s="125"/>
    </row>
    <row r="37" spans="1:49" x14ac:dyDescent="0.15">
      <c r="A37" s="125"/>
      <c r="B37" s="414"/>
      <c r="C37" s="415"/>
      <c r="D37" s="187"/>
      <c r="E37" s="187"/>
      <c r="F37" s="187"/>
      <c r="G37" s="366"/>
      <c r="H37" s="367"/>
      <c r="I37" s="367"/>
      <c r="J37" s="367"/>
      <c r="K37" s="367"/>
      <c r="L37" s="367"/>
      <c r="M37" s="367"/>
      <c r="N37" s="367"/>
      <c r="O37" s="367"/>
      <c r="P37" s="367"/>
      <c r="Q37" s="367"/>
      <c r="R37" s="367"/>
      <c r="S37" s="367"/>
      <c r="T37" s="367"/>
      <c r="U37" s="367"/>
      <c r="V37" s="367"/>
      <c r="W37" s="367"/>
      <c r="X37" s="368"/>
      <c r="Y37" s="366"/>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8"/>
      <c r="AW37" s="125"/>
    </row>
    <row r="38" spans="1:49" x14ac:dyDescent="0.15">
      <c r="A38" s="125"/>
      <c r="B38" s="410">
        <v>7</v>
      </c>
      <c r="C38" s="411"/>
      <c r="D38" s="185"/>
      <c r="E38" s="185"/>
      <c r="F38" s="185"/>
      <c r="G38" s="363" t="s">
        <v>321</v>
      </c>
      <c r="H38" s="364"/>
      <c r="I38" s="364"/>
      <c r="J38" s="364"/>
      <c r="K38" s="364"/>
      <c r="L38" s="364"/>
      <c r="M38" s="364"/>
      <c r="N38" s="364"/>
      <c r="O38" s="364"/>
      <c r="P38" s="364"/>
      <c r="Q38" s="364"/>
      <c r="R38" s="364"/>
      <c r="S38" s="364"/>
      <c r="T38" s="364"/>
      <c r="U38" s="364"/>
      <c r="V38" s="364"/>
      <c r="W38" s="364"/>
      <c r="X38" s="365"/>
      <c r="Y38" s="425" t="s">
        <v>322</v>
      </c>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541"/>
      <c r="AW38" s="125"/>
    </row>
    <row r="39" spans="1:49" x14ac:dyDescent="0.15">
      <c r="A39" s="125"/>
      <c r="B39" s="412"/>
      <c r="C39" s="413"/>
      <c r="D39" s="186"/>
      <c r="E39" s="186"/>
      <c r="F39" s="186"/>
      <c r="G39" s="458"/>
      <c r="H39" s="459"/>
      <c r="I39" s="459"/>
      <c r="J39" s="459"/>
      <c r="K39" s="459"/>
      <c r="L39" s="459"/>
      <c r="M39" s="459"/>
      <c r="N39" s="459"/>
      <c r="O39" s="459"/>
      <c r="P39" s="459"/>
      <c r="Q39" s="459"/>
      <c r="R39" s="459"/>
      <c r="S39" s="459"/>
      <c r="T39" s="459"/>
      <c r="U39" s="459"/>
      <c r="V39" s="459"/>
      <c r="W39" s="459"/>
      <c r="X39" s="533"/>
      <c r="Y39" s="427"/>
      <c r="Z39" s="428"/>
      <c r="AA39" s="428"/>
      <c r="AB39" s="428"/>
      <c r="AC39" s="428"/>
      <c r="AD39" s="428"/>
      <c r="AE39" s="428"/>
      <c r="AF39" s="428"/>
      <c r="AG39" s="428"/>
      <c r="AH39" s="428"/>
      <c r="AI39" s="428"/>
      <c r="AJ39" s="428"/>
      <c r="AK39" s="428"/>
      <c r="AL39" s="428"/>
      <c r="AM39" s="428"/>
      <c r="AN39" s="428"/>
      <c r="AO39" s="428"/>
      <c r="AP39" s="428"/>
      <c r="AQ39" s="428"/>
      <c r="AR39" s="428"/>
      <c r="AS39" s="428"/>
      <c r="AT39" s="428"/>
      <c r="AU39" s="428"/>
      <c r="AV39" s="542"/>
      <c r="AW39" s="125"/>
    </row>
    <row r="40" spans="1:49" x14ac:dyDescent="0.15">
      <c r="A40" s="125"/>
      <c r="B40" s="412"/>
      <c r="C40" s="413"/>
      <c r="D40" s="186"/>
      <c r="E40" s="186"/>
      <c r="F40" s="186"/>
      <c r="G40" s="458"/>
      <c r="H40" s="459"/>
      <c r="I40" s="459"/>
      <c r="J40" s="459"/>
      <c r="K40" s="459"/>
      <c r="L40" s="459"/>
      <c r="M40" s="459"/>
      <c r="N40" s="459"/>
      <c r="O40" s="459"/>
      <c r="P40" s="459"/>
      <c r="Q40" s="459"/>
      <c r="R40" s="459"/>
      <c r="S40" s="459"/>
      <c r="T40" s="459"/>
      <c r="U40" s="459"/>
      <c r="V40" s="459"/>
      <c r="W40" s="459"/>
      <c r="X40" s="533"/>
      <c r="Y40" s="427"/>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542"/>
      <c r="AW40" s="125"/>
    </row>
    <row r="41" spans="1:49" x14ac:dyDescent="0.15">
      <c r="A41" s="125"/>
      <c r="B41" s="412"/>
      <c r="C41" s="413"/>
      <c r="D41" s="186"/>
      <c r="E41" s="186"/>
      <c r="F41" s="186"/>
      <c r="G41" s="458"/>
      <c r="H41" s="459"/>
      <c r="I41" s="459"/>
      <c r="J41" s="459"/>
      <c r="K41" s="459"/>
      <c r="L41" s="459"/>
      <c r="M41" s="459"/>
      <c r="N41" s="459"/>
      <c r="O41" s="459"/>
      <c r="P41" s="459"/>
      <c r="Q41" s="459"/>
      <c r="R41" s="459"/>
      <c r="S41" s="459"/>
      <c r="T41" s="459"/>
      <c r="U41" s="459"/>
      <c r="V41" s="459"/>
      <c r="W41" s="459"/>
      <c r="X41" s="533"/>
      <c r="Y41" s="427"/>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542"/>
      <c r="AW41" s="125"/>
    </row>
    <row r="42" spans="1:49" x14ac:dyDescent="0.15">
      <c r="A42" s="125"/>
      <c r="B42" s="412"/>
      <c r="C42" s="413"/>
      <c r="D42" s="186"/>
      <c r="E42" s="186"/>
      <c r="F42" s="186"/>
      <c r="G42" s="458"/>
      <c r="H42" s="459"/>
      <c r="I42" s="459"/>
      <c r="J42" s="459"/>
      <c r="K42" s="459"/>
      <c r="L42" s="459"/>
      <c r="M42" s="459"/>
      <c r="N42" s="459"/>
      <c r="O42" s="459"/>
      <c r="P42" s="459"/>
      <c r="Q42" s="459"/>
      <c r="R42" s="459"/>
      <c r="S42" s="459"/>
      <c r="T42" s="459"/>
      <c r="U42" s="459"/>
      <c r="V42" s="459"/>
      <c r="W42" s="459"/>
      <c r="X42" s="533"/>
      <c r="Y42" s="427"/>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542"/>
      <c r="AW42" s="125"/>
    </row>
    <row r="43" spans="1:49" x14ac:dyDescent="0.15">
      <c r="A43" s="125"/>
      <c r="B43" s="412"/>
      <c r="C43" s="413"/>
      <c r="D43" s="186"/>
      <c r="E43" s="186"/>
      <c r="F43" s="186"/>
      <c r="G43" s="458"/>
      <c r="H43" s="459"/>
      <c r="I43" s="459"/>
      <c r="J43" s="459"/>
      <c r="K43" s="459"/>
      <c r="L43" s="459"/>
      <c r="M43" s="459"/>
      <c r="N43" s="459"/>
      <c r="O43" s="459"/>
      <c r="P43" s="459"/>
      <c r="Q43" s="459"/>
      <c r="R43" s="459"/>
      <c r="S43" s="459"/>
      <c r="T43" s="459"/>
      <c r="U43" s="459"/>
      <c r="V43" s="459"/>
      <c r="W43" s="459"/>
      <c r="X43" s="533"/>
      <c r="Y43" s="427"/>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542"/>
      <c r="AW43" s="125"/>
    </row>
    <row r="44" spans="1:49" x14ac:dyDescent="0.15">
      <c r="A44" s="125"/>
      <c r="B44" s="414"/>
      <c r="C44" s="415"/>
      <c r="D44" s="187"/>
      <c r="E44" s="187"/>
      <c r="F44" s="187"/>
      <c r="G44" s="366"/>
      <c r="H44" s="367"/>
      <c r="I44" s="367"/>
      <c r="J44" s="367"/>
      <c r="K44" s="367"/>
      <c r="L44" s="367"/>
      <c r="M44" s="367"/>
      <c r="N44" s="367"/>
      <c r="O44" s="367"/>
      <c r="P44" s="367"/>
      <c r="Q44" s="367"/>
      <c r="R44" s="367"/>
      <c r="S44" s="367"/>
      <c r="T44" s="367"/>
      <c r="U44" s="367"/>
      <c r="V44" s="367"/>
      <c r="W44" s="367"/>
      <c r="X44" s="368"/>
      <c r="Y44" s="429"/>
      <c r="Z44" s="430"/>
      <c r="AA44" s="430"/>
      <c r="AB44" s="430"/>
      <c r="AC44" s="430"/>
      <c r="AD44" s="430"/>
      <c r="AE44" s="430"/>
      <c r="AF44" s="430"/>
      <c r="AG44" s="430"/>
      <c r="AH44" s="430"/>
      <c r="AI44" s="430"/>
      <c r="AJ44" s="430"/>
      <c r="AK44" s="430"/>
      <c r="AL44" s="430"/>
      <c r="AM44" s="430"/>
      <c r="AN44" s="430"/>
      <c r="AO44" s="430"/>
      <c r="AP44" s="430"/>
      <c r="AQ44" s="430"/>
      <c r="AR44" s="430"/>
      <c r="AS44" s="430"/>
      <c r="AT44" s="430"/>
      <c r="AU44" s="430"/>
      <c r="AV44" s="543"/>
      <c r="AW44" s="125"/>
    </row>
    <row r="45" spans="1:49" ht="12" customHeight="1" x14ac:dyDescent="0.15">
      <c r="A45" s="125"/>
      <c r="B45" s="410">
        <v>8</v>
      </c>
      <c r="C45" s="411"/>
      <c r="D45" s="185"/>
      <c r="E45" s="185"/>
      <c r="F45" s="185"/>
      <c r="G45" s="363" t="s">
        <v>323</v>
      </c>
      <c r="H45" s="364"/>
      <c r="I45" s="364"/>
      <c r="J45" s="364"/>
      <c r="K45" s="364"/>
      <c r="L45" s="364"/>
      <c r="M45" s="364"/>
      <c r="N45" s="364"/>
      <c r="O45" s="364"/>
      <c r="P45" s="364"/>
      <c r="Q45" s="364"/>
      <c r="R45" s="364"/>
      <c r="S45" s="364"/>
      <c r="T45" s="364"/>
      <c r="U45" s="364"/>
      <c r="V45" s="364"/>
      <c r="W45" s="364"/>
      <c r="X45" s="365"/>
      <c r="Y45" s="425" t="s">
        <v>322</v>
      </c>
      <c r="Z45" s="426"/>
      <c r="AA45" s="426"/>
      <c r="AB45" s="426"/>
      <c r="AC45" s="426"/>
      <c r="AD45" s="426"/>
      <c r="AE45" s="426"/>
      <c r="AF45" s="426"/>
      <c r="AG45" s="426"/>
      <c r="AH45" s="426"/>
      <c r="AI45" s="426"/>
      <c r="AJ45" s="426"/>
      <c r="AK45" s="426"/>
      <c r="AL45" s="426"/>
      <c r="AM45" s="426"/>
      <c r="AN45" s="426"/>
      <c r="AO45" s="426"/>
      <c r="AP45" s="426"/>
      <c r="AQ45" s="426"/>
      <c r="AR45" s="426"/>
      <c r="AS45" s="426"/>
      <c r="AT45" s="426"/>
      <c r="AU45" s="426"/>
      <c r="AV45" s="541"/>
      <c r="AW45" s="125"/>
    </row>
    <row r="46" spans="1:49" x14ac:dyDescent="0.15">
      <c r="A46" s="125"/>
      <c r="B46" s="412"/>
      <c r="C46" s="413"/>
      <c r="D46" s="186"/>
      <c r="E46" s="186"/>
      <c r="F46" s="186"/>
      <c r="G46" s="458"/>
      <c r="H46" s="459"/>
      <c r="I46" s="459"/>
      <c r="J46" s="459"/>
      <c r="K46" s="459"/>
      <c r="L46" s="459"/>
      <c r="M46" s="459"/>
      <c r="N46" s="459"/>
      <c r="O46" s="459"/>
      <c r="P46" s="459"/>
      <c r="Q46" s="459"/>
      <c r="R46" s="459"/>
      <c r="S46" s="459"/>
      <c r="T46" s="459"/>
      <c r="U46" s="459"/>
      <c r="V46" s="459"/>
      <c r="W46" s="459"/>
      <c r="X46" s="533"/>
      <c r="Y46" s="427"/>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542"/>
      <c r="AW46" s="125"/>
    </row>
    <row r="47" spans="1:49" x14ac:dyDescent="0.15">
      <c r="A47" s="125"/>
      <c r="B47" s="412"/>
      <c r="C47" s="413"/>
      <c r="D47" s="186"/>
      <c r="E47" s="186"/>
      <c r="F47" s="186"/>
      <c r="G47" s="458"/>
      <c r="H47" s="459"/>
      <c r="I47" s="459"/>
      <c r="J47" s="459"/>
      <c r="K47" s="459"/>
      <c r="L47" s="459"/>
      <c r="M47" s="459"/>
      <c r="N47" s="459"/>
      <c r="O47" s="459"/>
      <c r="P47" s="459"/>
      <c r="Q47" s="459"/>
      <c r="R47" s="459"/>
      <c r="S47" s="459"/>
      <c r="T47" s="459"/>
      <c r="U47" s="459"/>
      <c r="V47" s="459"/>
      <c r="W47" s="459"/>
      <c r="X47" s="533"/>
      <c r="Y47" s="427"/>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542"/>
      <c r="AW47" s="125"/>
    </row>
    <row r="48" spans="1:49" x14ac:dyDescent="0.15">
      <c r="A48" s="125"/>
      <c r="B48" s="412"/>
      <c r="C48" s="413"/>
      <c r="D48" s="186"/>
      <c r="E48" s="186"/>
      <c r="F48" s="186"/>
      <c r="G48" s="458"/>
      <c r="H48" s="459"/>
      <c r="I48" s="459"/>
      <c r="J48" s="459"/>
      <c r="K48" s="459"/>
      <c r="L48" s="459"/>
      <c r="M48" s="459"/>
      <c r="N48" s="459"/>
      <c r="O48" s="459"/>
      <c r="P48" s="459"/>
      <c r="Q48" s="459"/>
      <c r="R48" s="459"/>
      <c r="S48" s="459"/>
      <c r="T48" s="459"/>
      <c r="U48" s="459"/>
      <c r="V48" s="459"/>
      <c r="W48" s="459"/>
      <c r="X48" s="533"/>
      <c r="Y48" s="427"/>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542"/>
      <c r="AW48" s="125"/>
    </row>
    <row r="49" spans="1:49" x14ac:dyDescent="0.15">
      <c r="A49" s="125"/>
      <c r="B49" s="412"/>
      <c r="C49" s="413"/>
      <c r="D49" s="186"/>
      <c r="E49" s="186"/>
      <c r="F49" s="186"/>
      <c r="G49" s="458"/>
      <c r="H49" s="459"/>
      <c r="I49" s="459"/>
      <c r="J49" s="459"/>
      <c r="K49" s="459"/>
      <c r="L49" s="459"/>
      <c r="M49" s="459"/>
      <c r="N49" s="459"/>
      <c r="O49" s="459"/>
      <c r="P49" s="459"/>
      <c r="Q49" s="459"/>
      <c r="R49" s="459"/>
      <c r="S49" s="459"/>
      <c r="T49" s="459"/>
      <c r="U49" s="459"/>
      <c r="V49" s="459"/>
      <c r="W49" s="459"/>
      <c r="X49" s="533"/>
      <c r="Y49" s="427"/>
      <c r="Z49" s="428"/>
      <c r="AA49" s="428"/>
      <c r="AB49" s="428"/>
      <c r="AC49" s="428"/>
      <c r="AD49" s="428"/>
      <c r="AE49" s="428"/>
      <c r="AF49" s="428"/>
      <c r="AG49" s="428"/>
      <c r="AH49" s="428"/>
      <c r="AI49" s="428"/>
      <c r="AJ49" s="428"/>
      <c r="AK49" s="428"/>
      <c r="AL49" s="428"/>
      <c r="AM49" s="428"/>
      <c r="AN49" s="428"/>
      <c r="AO49" s="428"/>
      <c r="AP49" s="428"/>
      <c r="AQ49" s="428"/>
      <c r="AR49" s="428"/>
      <c r="AS49" s="428"/>
      <c r="AT49" s="428"/>
      <c r="AU49" s="428"/>
      <c r="AV49" s="542"/>
      <c r="AW49" s="125"/>
    </row>
    <row r="50" spans="1:49" x14ac:dyDescent="0.15">
      <c r="A50" s="125"/>
      <c r="B50" s="414"/>
      <c r="C50" s="415"/>
      <c r="D50" s="187"/>
      <c r="E50" s="187"/>
      <c r="F50" s="187"/>
      <c r="G50" s="366"/>
      <c r="H50" s="367"/>
      <c r="I50" s="367"/>
      <c r="J50" s="367"/>
      <c r="K50" s="367"/>
      <c r="L50" s="367"/>
      <c r="M50" s="367"/>
      <c r="N50" s="367"/>
      <c r="O50" s="367"/>
      <c r="P50" s="367"/>
      <c r="Q50" s="367"/>
      <c r="R50" s="367"/>
      <c r="S50" s="367"/>
      <c r="T50" s="367"/>
      <c r="U50" s="367"/>
      <c r="V50" s="367"/>
      <c r="W50" s="367"/>
      <c r="X50" s="368"/>
      <c r="Y50" s="429"/>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543"/>
      <c r="AW50" s="125"/>
    </row>
    <row r="51" spans="1:49" x14ac:dyDescent="0.15">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row>
    <row r="52" spans="1:49" x14ac:dyDescent="0.15">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row>
    <row r="53" spans="1:49" ht="12" customHeight="1" x14ac:dyDescent="0.15">
      <c r="A53" s="521" t="s">
        <v>301</v>
      </c>
      <c r="B53" s="522"/>
      <c r="C53" s="522"/>
      <c r="D53" s="522"/>
      <c r="E53" s="522"/>
      <c r="F53" s="522"/>
      <c r="G53" s="522"/>
      <c r="H53" s="522"/>
      <c r="I53" s="522"/>
      <c r="J53" s="522"/>
      <c r="K53" s="522"/>
      <c r="L53" s="522"/>
      <c r="M53" s="522"/>
      <c r="N53" s="522"/>
      <c r="O53" s="522"/>
      <c r="P53" s="522"/>
      <c r="Q53" s="522"/>
      <c r="R53" s="522"/>
      <c r="S53" s="522"/>
      <c r="T53" s="522"/>
      <c r="U53" s="522"/>
      <c r="V53" s="522"/>
      <c r="W53" s="522"/>
      <c r="X53" s="522"/>
      <c r="Y53" s="522"/>
      <c r="Z53" s="522"/>
      <c r="AA53" s="522"/>
      <c r="AB53" s="522"/>
      <c r="AC53" s="522"/>
      <c r="AD53" s="522"/>
      <c r="AE53" s="522"/>
      <c r="AF53" s="522"/>
      <c r="AG53" s="522"/>
      <c r="AH53" s="522"/>
      <c r="AI53" s="522"/>
      <c r="AJ53" s="522"/>
      <c r="AK53" s="522"/>
      <c r="AL53" s="522"/>
      <c r="AM53" s="522"/>
      <c r="AN53" s="522"/>
      <c r="AO53" s="522"/>
      <c r="AP53" s="522"/>
      <c r="AQ53" s="522"/>
      <c r="AR53" s="522"/>
      <c r="AS53" s="522"/>
      <c r="AT53" s="522"/>
      <c r="AU53" s="522"/>
      <c r="AV53" s="522"/>
      <c r="AW53" s="523"/>
    </row>
    <row r="54" spans="1:49" ht="12" customHeight="1" x14ac:dyDescent="0.15">
      <c r="A54" s="524"/>
      <c r="B54" s="525"/>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5"/>
      <c r="AP54" s="525"/>
      <c r="AQ54" s="525"/>
      <c r="AR54" s="525"/>
      <c r="AS54" s="525"/>
      <c r="AT54" s="525"/>
      <c r="AU54" s="525"/>
      <c r="AV54" s="525"/>
      <c r="AW54" s="526"/>
    </row>
    <row r="55" spans="1:49" x14ac:dyDescent="0.15">
      <c r="A55" s="350" t="str">
        <f>"【"&amp;製品カテゴリ&amp;"】"</f>
        <v>【AGV・AMR】</v>
      </c>
      <c r="B55" s="350"/>
      <c r="C55" s="350"/>
      <c r="D55" s="350"/>
      <c r="E55" s="350"/>
      <c r="F55" s="350"/>
      <c r="G55" s="350"/>
      <c r="H55" s="350"/>
      <c r="I55" s="350"/>
      <c r="J55" s="350"/>
      <c r="K55" s="350"/>
      <c r="L55" s="350"/>
      <c r="M55" s="350"/>
      <c r="N55" s="350"/>
      <c r="O55" s="350"/>
      <c r="P55" s="350"/>
      <c r="Q55" s="350"/>
      <c r="R55" s="350"/>
      <c r="S55" s="350"/>
      <c r="T55" s="350"/>
      <c r="U55" s="350"/>
      <c r="V55" s="350"/>
      <c r="W55" s="350"/>
      <c r="X55" s="350"/>
      <c r="Y55" s="125"/>
      <c r="Z55" s="125"/>
      <c r="AA55" s="125"/>
      <c r="AB55" s="125"/>
      <c r="AC55" s="125"/>
      <c r="AD55" s="125"/>
      <c r="AE55" s="125"/>
      <c r="AF55" s="125"/>
      <c r="AG55" s="125"/>
      <c r="AH55" s="125"/>
      <c r="AI55" s="125"/>
      <c r="AJ55" s="125"/>
      <c r="AK55" s="125"/>
      <c r="AL55" s="125"/>
      <c r="AM55" s="125"/>
      <c r="AN55" s="125"/>
      <c r="AO55" s="125"/>
      <c r="AP55" s="125"/>
      <c r="AQ55" s="125"/>
      <c r="AR55" s="125"/>
      <c r="AS55" s="290" t="s">
        <v>246</v>
      </c>
      <c r="AT55" s="290"/>
      <c r="AU55" s="290"/>
      <c r="AV55" s="290"/>
      <c r="AW55" s="290"/>
    </row>
    <row r="56" spans="1:49" x14ac:dyDescent="0.15">
      <c r="A56" s="293"/>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125"/>
      <c r="Z56" s="125"/>
      <c r="AA56" s="125"/>
      <c r="AB56" s="125"/>
      <c r="AC56" s="125"/>
      <c r="AD56" s="125"/>
      <c r="AE56" s="125"/>
      <c r="AF56" s="125"/>
      <c r="AG56" s="125"/>
      <c r="AH56" s="125"/>
      <c r="AI56" s="125"/>
      <c r="AJ56" s="125"/>
      <c r="AK56" s="125"/>
      <c r="AL56" s="125"/>
      <c r="AM56" s="125"/>
      <c r="AN56" s="125"/>
      <c r="AO56" s="125"/>
      <c r="AP56" s="125"/>
      <c r="AQ56" s="125"/>
      <c r="AR56" s="125"/>
      <c r="AS56" s="291"/>
      <c r="AT56" s="291"/>
      <c r="AU56" s="291"/>
      <c r="AV56" s="291"/>
      <c r="AW56" s="291"/>
    </row>
    <row r="57" spans="1:49" x14ac:dyDescent="0.15">
      <c r="A57" s="125"/>
      <c r="B57" s="293" t="s">
        <v>324</v>
      </c>
      <c r="C57" s="293"/>
      <c r="D57" s="293"/>
      <c r="E57" s="293"/>
      <c r="F57" s="293"/>
      <c r="G57" s="293"/>
      <c r="H57" s="293"/>
      <c r="I57" s="293"/>
      <c r="J57" s="293"/>
      <c r="K57" s="293"/>
      <c r="L57" s="293"/>
      <c r="M57" s="293"/>
      <c r="N57" s="293"/>
      <c r="O57" s="293"/>
      <c r="P57" s="293"/>
      <c r="Q57" s="293"/>
      <c r="R57" s="293"/>
      <c r="S57" s="293"/>
      <c r="T57" s="293"/>
      <c r="U57" s="293"/>
      <c r="V57" s="293"/>
      <c r="W57" s="293"/>
      <c r="X57" s="293"/>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row>
    <row r="58" spans="1:49" x14ac:dyDescent="0.15">
      <c r="A58" s="125"/>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row>
    <row r="59" spans="1:49" x14ac:dyDescent="0.15">
      <c r="A59" s="125"/>
      <c r="B59" s="293" t="s">
        <v>325</v>
      </c>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125"/>
    </row>
    <row r="60" spans="1:49" x14ac:dyDescent="0.15">
      <c r="A60" s="125"/>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125"/>
    </row>
    <row r="61" spans="1:49" x14ac:dyDescent="0.15">
      <c r="A61" s="125"/>
      <c r="B61" s="293" t="s">
        <v>326</v>
      </c>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125"/>
    </row>
    <row r="62" spans="1:49" x14ac:dyDescent="0.15">
      <c r="A62" s="125"/>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125"/>
    </row>
    <row r="63" spans="1:49" x14ac:dyDescent="0.15">
      <c r="A63" s="125"/>
      <c r="B63" s="293" t="s">
        <v>327</v>
      </c>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125"/>
    </row>
    <row r="64" spans="1:49" x14ac:dyDescent="0.15">
      <c r="A64" s="125"/>
      <c r="B64" s="294"/>
      <c r="C64" s="294"/>
      <c r="D64" s="294"/>
      <c r="E64" s="294"/>
      <c r="F64" s="294"/>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125"/>
    </row>
    <row r="65" spans="1:49" x14ac:dyDescent="0.15">
      <c r="A65" s="125"/>
      <c r="B65" s="520" t="s">
        <v>303</v>
      </c>
      <c r="C65" s="520"/>
      <c r="D65" s="295" t="s">
        <v>304</v>
      </c>
      <c r="E65" s="296"/>
      <c r="F65" s="347"/>
      <c r="G65" s="520" t="s">
        <v>305</v>
      </c>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125"/>
      <c r="AM65" s="125"/>
      <c r="AN65" s="125"/>
      <c r="AO65" s="125"/>
      <c r="AP65" s="125"/>
      <c r="AQ65" s="125"/>
      <c r="AR65" s="125"/>
      <c r="AS65" s="125"/>
      <c r="AT65" s="125"/>
      <c r="AU65" s="125"/>
      <c r="AV65" s="125"/>
      <c r="AW65" s="125"/>
    </row>
    <row r="66" spans="1:49" x14ac:dyDescent="0.15">
      <c r="A66" s="125"/>
      <c r="B66" s="520"/>
      <c r="C66" s="520"/>
      <c r="D66" s="297"/>
      <c r="E66" s="298"/>
      <c r="F66" s="348"/>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125"/>
      <c r="AM66" s="125"/>
      <c r="AN66" s="125"/>
      <c r="AO66" s="125"/>
      <c r="AP66" s="125"/>
      <c r="AQ66" s="125"/>
      <c r="AR66" s="125"/>
      <c r="AS66" s="125"/>
      <c r="AT66" s="125"/>
      <c r="AU66" s="125"/>
      <c r="AV66" s="125"/>
      <c r="AW66" s="125"/>
    </row>
    <row r="67" spans="1:49" ht="12" customHeight="1" x14ac:dyDescent="0.15">
      <c r="A67" s="125"/>
      <c r="B67" s="412">
        <v>1</v>
      </c>
      <c r="C67" s="413"/>
      <c r="D67" s="186"/>
      <c r="E67" s="186"/>
      <c r="F67" s="186"/>
      <c r="G67" s="544" t="s">
        <v>328</v>
      </c>
      <c r="H67" s="544"/>
      <c r="I67" s="544"/>
      <c r="J67" s="544"/>
      <c r="K67" s="544"/>
      <c r="L67" s="544"/>
      <c r="M67" s="544"/>
      <c r="N67" s="544"/>
      <c r="O67" s="544"/>
      <c r="P67" s="544"/>
      <c r="Q67" s="544"/>
      <c r="R67" s="544"/>
      <c r="S67" s="544"/>
      <c r="T67" s="544"/>
      <c r="U67" s="544"/>
      <c r="V67" s="544"/>
      <c r="W67" s="544"/>
      <c r="X67" s="544"/>
      <c r="Y67" s="544"/>
      <c r="Z67" s="544"/>
      <c r="AA67" s="544"/>
      <c r="AB67" s="544"/>
      <c r="AC67" s="544"/>
      <c r="AD67" s="544"/>
      <c r="AE67" s="544"/>
      <c r="AF67" s="544"/>
      <c r="AG67" s="544"/>
      <c r="AH67" s="544"/>
      <c r="AI67" s="544"/>
      <c r="AJ67" s="544"/>
      <c r="AK67" s="544"/>
      <c r="AL67" s="125"/>
      <c r="AM67" s="125"/>
      <c r="AN67" s="125"/>
      <c r="AO67" s="125"/>
      <c r="AP67" s="125"/>
      <c r="AQ67" s="125"/>
      <c r="AR67" s="125"/>
      <c r="AS67" s="125"/>
      <c r="AT67" s="125"/>
      <c r="AU67" s="125"/>
      <c r="AV67" s="125"/>
      <c r="AW67" s="125"/>
    </row>
    <row r="68" spans="1:49" x14ac:dyDescent="0.15">
      <c r="A68" s="125"/>
      <c r="B68" s="412"/>
      <c r="C68" s="413"/>
      <c r="D68" s="186"/>
      <c r="E68" s="186"/>
      <c r="F68" s="186"/>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4"/>
      <c r="AH68" s="544"/>
      <c r="AI68" s="544"/>
      <c r="AJ68" s="544"/>
      <c r="AK68" s="544"/>
      <c r="AL68" s="125"/>
      <c r="AM68" s="125"/>
      <c r="AN68" s="125"/>
      <c r="AO68" s="125"/>
      <c r="AP68" s="125"/>
      <c r="AQ68" s="125"/>
      <c r="AR68" s="125"/>
      <c r="AS68" s="125"/>
      <c r="AT68" s="125"/>
      <c r="AU68" s="125"/>
      <c r="AV68" s="125"/>
      <c r="AW68" s="125"/>
    </row>
    <row r="69" spans="1:49" x14ac:dyDescent="0.15">
      <c r="A69" s="125"/>
      <c r="B69" s="414"/>
      <c r="C69" s="415"/>
      <c r="D69" s="187"/>
      <c r="E69" s="187"/>
      <c r="F69" s="187"/>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4"/>
      <c r="AJ69" s="544"/>
      <c r="AK69" s="544"/>
      <c r="AL69" s="125"/>
      <c r="AM69" s="125"/>
      <c r="AN69" s="125"/>
      <c r="AO69" s="125"/>
      <c r="AP69" s="125"/>
      <c r="AQ69" s="125"/>
      <c r="AR69" s="125"/>
      <c r="AS69" s="125"/>
      <c r="AT69" s="125"/>
      <c r="AU69" s="125"/>
      <c r="AV69" s="125"/>
      <c r="AW69" s="125"/>
    </row>
    <row r="70" spans="1:49" x14ac:dyDescent="0.15">
      <c r="A70" s="125"/>
      <c r="B70" s="410">
        <v>2</v>
      </c>
      <c r="C70" s="411"/>
      <c r="D70" s="185"/>
      <c r="E70" s="185"/>
      <c r="F70" s="185"/>
      <c r="G70" s="544" t="s">
        <v>329</v>
      </c>
      <c r="H70" s="544"/>
      <c r="I70" s="544"/>
      <c r="J70" s="544"/>
      <c r="K70" s="544"/>
      <c r="L70" s="544"/>
      <c r="M70" s="544"/>
      <c r="N70" s="544"/>
      <c r="O70" s="544"/>
      <c r="P70" s="544"/>
      <c r="Q70" s="544"/>
      <c r="R70" s="544"/>
      <c r="S70" s="544"/>
      <c r="T70" s="544"/>
      <c r="U70" s="544"/>
      <c r="V70" s="544"/>
      <c r="W70" s="544"/>
      <c r="X70" s="544"/>
      <c r="Y70" s="544"/>
      <c r="Z70" s="544"/>
      <c r="AA70" s="544"/>
      <c r="AB70" s="544"/>
      <c r="AC70" s="544"/>
      <c r="AD70" s="544"/>
      <c r="AE70" s="544"/>
      <c r="AF70" s="544"/>
      <c r="AG70" s="544"/>
      <c r="AH70" s="544"/>
      <c r="AI70" s="544"/>
      <c r="AJ70" s="544"/>
      <c r="AK70" s="544"/>
      <c r="AL70" s="125"/>
      <c r="AM70" s="125"/>
      <c r="AN70" s="125"/>
      <c r="AO70" s="125"/>
      <c r="AP70" s="125"/>
      <c r="AQ70" s="125"/>
      <c r="AR70" s="125"/>
      <c r="AS70" s="125"/>
      <c r="AT70" s="125"/>
      <c r="AU70" s="125"/>
      <c r="AV70" s="125"/>
      <c r="AW70" s="125"/>
    </row>
    <row r="71" spans="1:49" x14ac:dyDescent="0.15">
      <c r="A71" s="125"/>
      <c r="B71" s="412"/>
      <c r="C71" s="413"/>
      <c r="D71" s="186"/>
      <c r="E71" s="186"/>
      <c r="F71" s="186"/>
      <c r="G71" s="544"/>
      <c r="H71" s="544"/>
      <c r="I71" s="544"/>
      <c r="J71" s="544"/>
      <c r="K71" s="544"/>
      <c r="L71" s="544"/>
      <c r="M71" s="544"/>
      <c r="N71" s="544"/>
      <c r="O71" s="544"/>
      <c r="P71" s="544"/>
      <c r="Q71" s="544"/>
      <c r="R71" s="544"/>
      <c r="S71" s="544"/>
      <c r="T71" s="544"/>
      <c r="U71" s="544"/>
      <c r="V71" s="544"/>
      <c r="W71" s="544"/>
      <c r="X71" s="544"/>
      <c r="Y71" s="544"/>
      <c r="Z71" s="544"/>
      <c r="AA71" s="544"/>
      <c r="AB71" s="544"/>
      <c r="AC71" s="544"/>
      <c r="AD71" s="544"/>
      <c r="AE71" s="544"/>
      <c r="AF71" s="544"/>
      <c r="AG71" s="544"/>
      <c r="AH71" s="544"/>
      <c r="AI71" s="544"/>
      <c r="AJ71" s="544"/>
      <c r="AK71" s="544"/>
      <c r="AL71" s="125"/>
      <c r="AM71" s="125"/>
      <c r="AN71" s="125"/>
      <c r="AO71" s="125"/>
      <c r="AP71" s="125"/>
      <c r="AQ71" s="125"/>
      <c r="AR71" s="125"/>
      <c r="AS71" s="125"/>
      <c r="AT71" s="125"/>
      <c r="AU71" s="125"/>
      <c r="AV71" s="125"/>
      <c r="AW71" s="125"/>
    </row>
    <row r="72" spans="1:49" x14ac:dyDescent="0.15">
      <c r="A72" s="125"/>
      <c r="B72" s="414"/>
      <c r="C72" s="415"/>
      <c r="D72" s="187"/>
      <c r="E72" s="187"/>
      <c r="F72" s="187"/>
      <c r="G72" s="544"/>
      <c r="H72" s="544"/>
      <c r="I72" s="544"/>
      <c r="J72" s="544"/>
      <c r="K72" s="544"/>
      <c r="L72" s="544"/>
      <c r="M72" s="544"/>
      <c r="N72" s="544"/>
      <c r="O72" s="544"/>
      <c r="P72" s="544"/>
      <c r="Q72" s="544"/>
      <c r="R72" s="544"/>
      <c r="S72" s="544"/>
      <c r="T72" s="544"/>
      <c r="U72" s="544"/>
      <c r="V72" s="544"/>
      <c r="W72" s="544"/>
      <c r="X72" s="544"/>
      <c r="Y72" s="544"/>
      <c r="Z72" s="544"/>
      <c r="AA72" s="544"/>
      <c r="AB72" s="544"/>
      <c r="AC72" s="544"/>
      <c r="AD72" s="544"/>
      <c r="AE72" s="544"/>
      <c r="AF72" s="544"/>
      <c r="AG72" s="544"/>
      <c r="AH72" s="544"/>
      <c r="AI72" s="544"/>
      <c r="AJ72" s="544"/>
      <c r="AK72" s="544"/>
      <c r="AL72" s="125"/>
      <c r="AM72" s="125"/>
      <c r="AN72" s="125"/>
      <c r="AO72" s="125"/>
      <c r="AP72" s="125"/>
      <c r="AQ72" s="125"/>
      <c r="AR72" s="125"/>
      <c r="AS72" s="125"/>
      <c r="AT72" s="125"/>
      <c r="AU72" s="125"/>
      <c r="AV72" s="125"/>
      <c r="AW72" s="125"/>
    </row>
    <row r="73" spans="1:49" x14ac:dyDescent="0.15">
      <c r="A73" s="125"/>
      <c r="B73" s="410">
        <v>3</v>
      </c>
      <c r="C73" s="411"/>
      <c r="D73" s="185"/>
      <c r="E73" s="185"/>
      <c r="F73" s="185"/>
      <c r="G73" s="544" t="s">
        <v>330</v>
      </c>
      <c r="H73" s="544"/>
      <c r="I73" s="544"/>
      <c r="J73" s="544"/>
      <c r="K73" s="544"/>
      <c r="L73" s="544"/>
      <c r="M73" s="544"/>
      <c r="N73" s="544"/>
      <c r="O73" s="544"/>
      <c r="P73" s="544"/>
      <c r="Q73" s="544"/>
      <c r="R73" s="544"/>
      <c r="S73" s="544"/>
      <c r="T73" s="544"/>
      <c r="U73" s="544"/>
      <c r="V73" s="544"/>
      <c r="W73" s="544"/>
      <c r="X73" s="544"/>
      <c r="Y73" s="544"/>
      <c r="Z73" s="544"/>
      <c r="AA73" s="544"/>
      <c r="AB73" s="544"/>
      <c r="AC73" s="544"/>
      <c r="AD73" s="544"/>
      <c r="AE73" s="544"/>
      <c r="AF73" s="544"/>
      <c r="AG73" s="544"/>
      <c r="AH73" s="544"/>
      <c r="AI73" s="544"/>
      <c r="AJ73" s="544"/>
      <c r="AK73" s="544"/>
      <c r="AL73" s="125"/>
      <c r="AM73" s="125"/>
      <c r="AN73" s="125"/>
      <c r="AO73" s="125"/>
      <c r="AP73" s="125"/>
      <c r="AQ73" s="125"/>
      <c r="AR73" s="125"/>
      <c r="AS73" s="125"/>
      <c r="AT73" s="125"/>
      <c r="AU73" s="125"/>
      <c r="AV73" s="125"/>
      <c r="AW73" s="125"/>
    </row>
    <row r="74" spans="1:49" x14ac:dyDescent="0.15">
      <c r="A74" s="125"/>
      <c r="B74" s="412"/>
      <c r="C74" s="413"/>
      <c r="D74" s="186"/>
      <c r="E74" s="186"/>
      <c r="F74" s="186"/>
      <c r="G74" s="544"/>
      <c r="H74" s="544"/>
      <c r="I74" s="544"/>
      <c r="J74" s="544"/>
      <c r="K74" s="544"/>
      <c r="L74" s="544"/>
      <c r="M74" s="544"/>
      <c r="N74" s="544"/>
      <c r="O74" s="544"/>
      <c r="P74" s="544"/>
      <c r="Q74" s="544"/>
      <c r="R74" s="544"/>
      <c r="S74" s="544"/>
      <c r="T74" s="544"/>
      <c r="U74" s="544"/>
      <c r="V74" s="544"/>
      <c r="W74" s="544"/>
      <c r="X74" s="544"/>
      <c r="Y74" s="544"/>
      <c r="Z74" s="544"/>
      <c r="AA74" s="544"/>
      <c r="AB74" s="544"/>
      <c r="AC74" s="544"/>
      <c r="AD74" s="544"/>
      <c r="AE74" s="544"/>
      <c r="AF74" s="544"/>
      <c r="AG74" s="544"/>
      <c r="AH74" s="544"/>
      <c r="AI74" s="544"/>
      <c r="AJ74" s="544"/>
      <c r="AK74" s="544"/>
      <c r="AL74" s="125"/>
      <c r="AM74" s="125"/>
      <c r="AN74" s="125"/>
      <c r="AO74" s="125"/>
      <c r="AP74" s="125"/>
      <c r="AQ74" s="125"/>
      <c r="AR74" s="125"/>
      <c r="AS74" s="125"/>
      <c r="AT74" s="125"/>
      <c r="AU74" s="125"/>
      <c r="AV74" s="125"/>
      <c r="AW74" s="125"/>
    </row>
    <row r="75" spans="1:49" x14ac:dyDescent="0.15">
      <c r="A75" s="125"/>
      <c r="B75" s="414"/>
      <c r="C75" s="415"/>
      <c r="D75" s="187"/>
      <c r="E75" s="187"/>
      <c r="F75" s="187"/>
      <c r="G75" s="544"/>
      <c r="H75" s="544"/>
      <c r="I75" s="544"/>
      <c r="J75" s="544"/>
      <c r="K75" s="544"/>
      <c r="L75" s="544"/>
      <c r="M75" s="544"/>
      <c r="N75" s="544"/>
      <c r="O75" s="544"/>
      <c r="P75" s="544"/>
      <c r="Q75" s="544"/>
      <c r="R75" s="544"/>
      <c r="S75" s="544"/>
      <c r="T75" s="544"/>
      <c r="U75" s="544"/>
      <c r="V75" s="544"/>
      <c r="W75" s="544"/>
      <c r="X75" s="544"/>
      <c r="Y75" s="544"/>
      <c r="Z75" s="544"/>
      <c r="AA75" s="544"/>
      <c r="AB75" s="544"/>
      <c r="AC75" s="544"/>
      <c r="AD75" s="544"/>
      <c r="AE75" s="544"/>
      <c r="AF75" s="544"/>
      <c r="AG75" s="544"/>
      <c r="AH75" s="544"/>
      <c r="AI75" s="544"/>
      <c r="AJ75" s="544"/>
      <c r="AK75" s="544"/>
      <c r="AL75" s="125"/>
      <c r="AM75" s="125"/>
      <c r="AN75" s="125"/>
      <c r="AO75" s="125"/>
      <c r="AP75" s="125"/>
      <c r="AQ75" s="125"/>
      <c r="AR75" s="125"/>
      <c r="AS75" s="125"/>
      <c r="AT75" s="125"/>
      <c r="AU75" s="125"/>
      <c r="AV75" s="125"/>
      <c r="AW75" s="125"/>
    </row>
    <row r="76" spans="1:49" x14ac:dyDescent="0.15">
      <c r="A76" s="125"/>
      <c r="B76" s="412">
        <v>4</v>
      </c>
      <c r="C76" s="413"/>
      <c r="D76" s="186"/>
      <c r="E76" s="186"/>
      <c r="F76" s="186"/>
      <c r="G76" s="545" t="s">
        <v>331</v>
      </c>
      <c r="H76" s="545"/>
      <c r="I76" s="545"/>
      <c r="J76" s="545"/>
      <c r="K76" s="545"/>
      <c r="L76" s="545"/>
      <c r="M76" s="545"/>
      <c r="N76" s="545"/>
      <c r="O76" s="545"/>
      <c r="P76" s="545"/>
      <c r="Q76" s="545"/>
      <c r="R76" s="545"/>
      <c r="S76" s="545"/>
      <c r="T76" s="545"/>
      <c r="U76" s="545"/>
      <c r="V76" s="545"/>
      <c r="W76" s="545"/>
      <c r="X76" s="545"/>
      <c r="Y76" s="545"/>
      <c r="Z76" s="545"/>
      <c r="AA76" s="545"/>
      <c r="AB76" s="545"/>
      <c r="AC76" s="545"/>
      <c r="AD76" s="545"/>
      <c r="AE76" s="545"/>
      <c r="AF76" s="545"/>
      <c r="AG76" s="545"/>
      <c r="AH76" s="545"/>
      <c r="AI76" s="545"/>
      <c r="AJ76" s="545"/>
      <c r="AK76" s="545"/>
      <c r="AL76" s="125"/>
      <c r="AM76" s="125"/>
      <c r="AN76" s="125"/>
      <c r="AO76" s="125"/>
      <c r="AP76" s="125"/>
      <c r="AQ76" s="125"/>
      <c r="AR76" s="125"/>
      <c r="AS76" s="125"/>
      <c r="AT76" s="125"/>
      <c r="AU76" s="125"/>
      <c r="AV76" s="125"/>
      <c r="AW76" s="125"/>
    </row>
    <row r="77" spans="1:49" x14ac:dyDescent="0.15">
      <c r="A77" s="125"/>
      <c r="B77" s="412"/>
      <c r="C77" s="413"/>
      <c r="D77" s="186"/>
      <c r="E77" s="186"/>
      <c r="F77" s="186"/>
      <c r="G77" s="545"/>
      <c r="H77" s="545"/>
      <c r="I77" s="545"/>
      <c r="J77" s="545"/>
      <c r="K77" s="545"/>
      <c r="L77" s="545"/>
      <c r="M77" s="545"/>
      <c r="N77" s="545"/>
      <c r="O77" s="545"/>
      <c r="P77" s="545"/>
      <c r="Q77" s="545"/>
      <c r="R77" s="545"/>
      <c r="S77" s="545"/>
      <c r="T77" s="545"/>
      <c r="U77" s="545"/>
      <c r="V77" s="545"/>
      <c r="W77" s="545"/>
      <c r="X77" s="545"/>
      <c r="Y77" s="545"/>
      <c r="Z77" s="545"/>
      <c r="AA77" s="545"/>
      <c r="AB77" s="545"/>
      <c r="AC77" s="545"/>
      <c r="AD77" s="545"/>
      <c r="AE77" s="545"/>
      <c r="AF77" s="545"/>
      <c r="AG77" s="545"/>
      <c r="AH77" s="545"/>
      <c r="AI77" s="545"/>
      <c r="AJ77" s="545"/>
      <c r="AK77" s="545"/>
      <c r="AL77" s="125"/>
      <c r="AM77" s="125"/>
      <c r="AN77" s="125"/>
      <c r="AO77" s="125"/>
      <c r="AP77" s="125"/>
      <c r="AQ77" s="125"/>
      <c r="AR77" s="125"/>
      <c r="AS77" s="125"/>
      <c r="AT77" s="125"/>
      <c r="AU77" s="125"/>
      <c r="AV77" s="125"/>
      <c r="AW77" s="125"/>
    </row>
    <row r="78" spans="1:49" x14ac:dyDescent="0.15">
      <c r="A78" s="125"/>
      <c r="B78" s="414"/>
      <c r="C78" s="415"/>
      <c r="D78" s="187"/>
      <c r="E78" s="187"/>
      <c r="F78" s="187"/>
      <c r="G78" s="545"/>
      <c r="H78" s="545"/>
      <c r="I78" s="545"/>
      <c r="J78" s="545"/>
      <c r="K78" s="545"/>
      <c r="L78" s="545"/>
      <c r="M78" s="545"/>
      <c r="N78" s="545"/>
      <c r="O78" s="545"/>
      <c r="P78" s="545"/>
      <c r="Q78" s="545"/>
      <c r="R78" s="545"/>
      <c r="S78" s="545"/>
      <c r="T78" s="545"/>
      <c r="U78" s="545"/>
      <c r="V78" s="545"/>
      <c r="W78" s="545"/>
      <c r="X78" s="545"/>
      <c r="Y78" s="545"/>
      <c r="Z78" s="545"/>
      <c r="AA78" s="545"/>
      <c r="AB78" s="545"/>
      <c r="AC78" s="545"/>
      <c r="AD78" s="545"/>
      <c r="AE78" s="545"/>
      <c r="AF78" s="545"/>
      <c r="AG78" s="545"/>
      <c r="AH78" s="545"/>
      <c r="AI78" s="545"/>
      <c r="AJ78" s="545"/>
      <c r="AK78" s="545"/>
      <c r="AL78" s="125"/>
      <c r="AM78" s="125"/>
      <c r="AN78" s="125"/>
      <c r="AO78" s="125"/>
      <c r="AP78" s="125"/>
      <c r="AQ78" s="125"/>
      <c r="AR78" s="125"/>
      <c r="AS78" s="125"/>
      <c r="AT78" s="125"/>
      <c r="AU78" s="125"/>
      <c r="AV78" s="125"/>
      <c r="AW78" s="125"/>
    </row>
    <row r="79" spans="1:49" x14ac:dyDescent="0.15">
      <c r="A79" s="125"/>
      <c r="B79" s="410">
        <v>5</v>
      </c>
      <c r="C79" s="411"/>
      <c r="D79" s="185"/>
      <c r="E79" s="185"/>
      <c r="F79" s="185"/>
      <c r="G79" s="545" t="s">
        <v>435</v>
      </c>
      <c r="H79" s="545"/>
      <c r="I79" s="545"/>
      <c r="J79" s="545"/>
      <c r="K79" s="545"/>
      <c r="L79" s="545"/>
      <c r="M79" s="545"/>
      <c r="N79" s="545"/>
      <c r="O79" s="545"/>
      <c r="P79" s="545"/>
      <c r="Q79" s="545"/>
      <c r="R79" s="545"/>
      <c r="S79" s="545"/>
      <c r="T79" s="545"/>
      <c r="U79" s="545"/>
      <c r="V79" s="545"/>
      <c r="W79" s="545"/>
      <c r="X79" s="545"/>
      <c r="Y79" s="545"/>
      <c r="Z79" s="545"/>
      <c r="AA79" s="545"/>
      <c r="AB79" s="545"/>
      <c r="AC79" s="545"/>
      <c r="AD79" s="545"/>
      <c r="AE79" s="545"/>
      <c r="AF79" s="545"/>
      <c r="AG79" s="545"/>
      <c r="AH79" s="545"/>
      <c r="AI79" s="545"/>
      <c r="AJ79" s="545"/>
      <c r="AK79" s="545"/>
      <c r="AL79" s="125"/>
      <c r="AM79" s="125"/>
      <c r="AN79" s="125"/>
      <c r="AO79" s="125"/>
      <c r="AP79" s="125"/>
      <c r="AQ79" s="125"/>
      <c r="AR79" s="125"/>
      <c r="AS79" s="125"/>
      <c r="AT79" s="125"/>
      <c r="AU79" s="125"/>
      <c r="AV79" s="125"/>
      <c r="AW79" s="125"/>
    </row>
    <row r="80" spans="1:49" x14ac:dyDescent="0.15">
      <c r="A80" s="125"/>
      <c r="B80" s="412"/>
      <c r="C80" s="413"/>
      <c r="D80" s="186"/>
      <c r="E80" s="186"/>
      <c r="F80" s="186"/>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5"/>
      <c r="AK80" s="545"/>
      <c r="AL80" s="125"/>
      <c r="AM80" s="125"/>
      <c r="AN80" s="125"/>
      <c r="AO80" s="125"/>
      <c r="AP80" s="125"/>
      <c r="AQ80" s="125"/>
      <c r="AR80" s="125"/>
      <c r="AS80" s="125"/>
      <c r="AT80" s="125"/>
      <c r="AU80" s="125"/>
      <c r="AV80" s="125"/>
      <c r="AW80" s="125"/>
    </row>
    <row r="81" spans="1:49" x14ac:dyDescent="0.15">
      <c r="A81" s="125"/>
      <c r="B81" s="414"/>
      <c r="C81" s="415"/>
      <c r="D81" s="187"/>
      <c r="E81" s="187"/>
      <c r="F81" s="187"/>
      <c r="G81" s="545"/>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5"/>
      <c r="AK81" s="545"/>
      <c r="AL81" s="125"/>
      <c r="AM81" s="125"/>
      <c r="AN81" s="125"/>
      <c r="AO81" s="125"/>
      <c r="AP81" s="125"/>
      <c r="AQ81" s="125"/>
      <c r="AR81" s="125"/>
      <c r="AS81" s="125"/>
      <c r="AT81" s="125"/>
      <c r="AU81" s="125"/>
      <c r="AV81" s="125"/>
      <c r="AW81" s="125"/>
    </row>
    <row r="82" spans="1:49" x14ac:dyDescent="0.15">
      <c r="A82" s="125"/>
      <c r="B82" s="410">
        <v>6</v>
      </c>
      <c r="C82" s="411"/>
      <c r="D82" s="185"/>
      <c r="E82" s="185"/>
      <c r="F82" s="185"/>
      <c r="G82" s="545" t="s">
        <v>436</v>
      </c>
      <c r="H82" s="545"/>
      <c r="I82" s="545"/>
      <c r="J82" s="545"/>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45"/>
      <c r="AI82" s="545"/>
      <c r="AJ82" s="545"/>
      <c r="AK82" s="545"/>
      <c r="AL82" s="125"/>
      <c r="AM82" s="125"/>
      <c r="AN82" s="125"/>
      <c r="AO82" s="125"/>
      <c r="AP82" s="125"/>
      <c r="AQ82" s="125"/>
      <c r="AR82" s="125"/>
      <c r="AS82" s="125"/>
      <c r="AT82" s="125"/>
      <c r="AU82" s="125"/>
      <c r="AV82" s="125"/>
      <c r="AW82" s="125"/>
    </row>
    <row r="83" spans="1:49" x14ac:dyDescent="0.15">
      <c r="A83" s="125"/>
      <c r="B83" s="412"/>
      <c r="C83" s="413"/>
      <c r="D83" s="186"/>
      <c r="E83" s="186"/>
      <c r="F83" s="186"/>
      <c r="G83" s="545"/>
      <c r="H83" s="545"/>
      <c r="I83" s="545"/>
      <c r="J83" s="545"/>
      <c r="K83" s="545"/>
      <c r="L83" s="545"/>
      <c r="M83" s="545"/>
      <c r="N83" s="545"/>
      <c r="O83" s="545"/>
      <c r="P83" s="545"/>
      <c r="Q83" s="545"/>
      <c r="R83" s="545"/>
      <c r="S83" s="545"/>
      <c r="T83" s="545"/>
      <c r="U83" s="545"/>
      <c r="V83" s="545"/>
      <c r="W83" s="545"/>
      <c r="X83" s="545"/>
      <c r="Y83" s="545"/>
      <c r="Z83" s="545"/>
      <c r="AA83" s="545"/>
      <c r="AB83" s="545"/>
      <c r="AC83" s="545"/>
      <c r="AD83" s="545"/>
      <c r="AE83" s="545"/>
      <c r="AF83" s="545"/>
      <c r="AG83" s="545"/>
      <c r="AH83" s="545"/>
      <c r="AI83" s="545"/>
      <c r="AJ83" s="545"/>
      <c r="AK83" s="545"/>
      <c r="AL83" s="125"/>
      <c r="AM83" s="125"/>
      <c r="AN83" s="125"/>
      <c r="AO83" s="125"/>
      <c r="AP83" s="125"/>
      <c r="AQ83" s="125"/>
      <c r="AR83" s="125"/>
      <c r="AS83" s="125"/>
      <c r="AT83" s="125"/>
      <c r="AU83" s="125"/>
      <c r="AV83" s="125"/>
      <c r="AW83" s="125"/>
    </row>
    <row r="84" spans="1:49" x14ac:dyDescent="0.15">
      <c r="A84" s="125"/>
      <c r="B84" s="414"/>
      <c r="C84" s="415"/>
      <c r="D84" s="187"/>
      <c r="E84" s="187"/>
      <c r="F84" s="187"/>
      <c r="G84" s="545"/>
      <c r="H84" s="545"/>
      <c r="I84" s="545"/>
      <c r="J84" s="545"/>
      <c r="K84" s="545"/>
      <c r="L84" s="545"/>
      <c r="M84" s="545"/>
      <c r="N84" s="545"/>
      <c r="O84" s="545"/>
      <c r="P84" s="545"/>
      <c r="Q84" s="545"/>
      <c r="R84" s="545"/>
      <c r="S84" s="545"/>
      <c r="T84" s="545"/>
      <c r="U84" s="545"/>
      <c r="V84" s="545"/>
      <c r="W84" s="545"/>
      <c r="X84" s="545"/>
      <c r="Y84" s="545"/>
      <c r="Z84" s="545"/>
      <c r="AA84" s="545"/>
      <c r="AB84" s="545"/>
      <c r="AC84" s="545"/>
      <c r="AD84" s="545"/>
      <c r="AE84" s="545"/>
      <c r="AF84" s="545"/>
      <c r="AG84" s="545"/>
      <c r="AH84" s="545"/>
      <c r="AI84" s="545"/>
      <c r="AJ84" s="545"/>
      <c r="AK84" s="545"/>
      <c r="AL84" s="125"/>
      <c r="AM84" s="125"/>
      <c r="AN84" s="125"/>
      <c r="AO84" s="125"/>
      <c r="AP84" s="125"/>
      <c r="AQ84" s="125"/>
      <c r="AR84" s="125"/>
      <c r="AS84" s="125"/>
      <c r="AT84" s="125"/>
      <c r="AU84" s="125"/>
      <c r="AV84" s="125"/>
      <c r="AW84" s="125"/>
    </row>
    <row r="85" spans="1:49" x14ac:dyDescent="0.15">
      <c r="A85" s="125"/>
      <c r="B85" s="410">
        <v>7</v>
      </c>
      <c r="C85" s="411"/>
      <c r="D85" s="185"/>
      <c r="E85" s="185"/>
      <c r="F85" s="185"/>
      <c r="G85" s="544" t="s">
        <v>437</v>
      </c>
      <c r="H85" s="544"/>
      <c r="I85" s="544"/>
      <c r="J85" s="544"/>
      <c r="K85" s="544"/>
      <c r="L85" s="544"/>
      <c r="M85" s="544"/>
      <c r="N85" s="544"/>
      <c r="O85" s="544"/>
      <c r="P85" s="544"/>
      <c r="Q85" s="544"/>
      <c r="R85" s="544"/>
      <c r="S85" s="544"/>
      <c r="T85" s="544"/>
      <c r="U85" s="544"/>
      <c r="V85" s="544"/>
      <c r="W85" s="544"/>
      <c r="X85" s="544"/>
      <c r="Y85" s="544"/>
      <c r="Z85" s="544"/>
      <c r="AA85" s="544"/>
      <c r="AB85" s="544"/>
      <c r="AC85" s="544"/>
      <c r="AD85" s="544"/>
      <c r="AE85" s="544"/>
      <c r="AF85" s="544"/>
      <c r="AG85" s="544"/>
      <c r="AH85" s="544"/>
      <c r="AI85" s="544"/>
      <c r="AJ85" s="544"/>
      <c r="AK85" s="544"/>
      <c r="AL85" s="125"/>
      <c r="AM85" s="125"/>
      <c r="AN85" s="125"/>
      <c r="AO85" s="125"/>
      <c r="AP85" s="125"/>
      <c r="AQ85" s="125"/>
      <c r="AR85" s="125"/>
      <c r="AS85" s="125"/>
      <c r="AT85" s="125"/>
      <c r="AU85" s="125"/>
      <c r="AV85" s="125"/>
      <c r="AW85" s="125"/>
    </row>
    <row r="86" spans="1:49" x14ac:dyDescent="0.15">
      <c r="A86" s="125"/>
      <c r="B86" s="412"/>
      <c r="C86" s="413"/>
      <c r="D86" s="186"/>
      <c r="E86" s="186"/>
      <c r="F86" s="186"/>
      <c r="G86" s="544"/>
      <c r="H86" s="544"/>
      <c r="I86" s="544"/>
      <c r="J86" s="544"/>
      <c r="K86" s="544"/>
      <c r="L86" s="544"/>
      <c r="M86" s="544"/>
      <c r="N86" s="544"/>
      <c r="O86" s="544"/>
      <c r="P86" s="544"/>
      <c r="Q86" s="544"/>
      <c r="R86" s="544"/>
      <c r="S86" s="544"/>
      <c r="T86" s="544"/>
      <c r="U86" s="544"/>
      <c r="V86" s="544"/>
      <c r="W86" s="544"/>
      <c r="X86" s="544"/>
      <c r="Y86" s="544"/>
      <c r="Z86" s="544"/>
      <c r="AA86" s="544"/>
      <c r="AB86" s="544"/>
      <c r="AC86" s="544"/>
      <c r="AD86" s="544"/>
      <c r="AE86" s="544"/>
      <c r="AF86" s="544"/>
      <c r="AG86" s="544"/>
      <c r="AH86" s="544"/>
      <c r="AI86" s="544"/>
      <c r="AJ86" s="544"/>
      <c r="AK86" s="544"/>
      <c r="AL86" s="125"/>
      <c r="AM86" s="125"/>
      <c r="AN86" s="125"/>
      <c r="AO86" s="125"/>
      <c r="AP86" s="125"/>
      <c r="AQ86" s="125"/>
      <c r="AR86" s="125"/>
      <c r="AS86" s="125"/>
      <c r="AT86" s="125"/>
      <c r="AU86" s="125"/>
      <c r="AV86" s="125"/>
      <c r="AW86" s="125"/>
    </row>
    <row r="87" spans="1:49" x14ac:dyDescent="0.15">
      <c r="A87" s="125"/>
      <c r="B87" s="414"/>
      <c r="C87" s="415"/>
      <c r="D87" s="187"/>
      <c r="E87" s="187"/>
      <c r="F87" s="187"/>
      <c r="G87" s="544"/>
      <c r="H87" s="544"/>
      <c r="I87" s="544"/>
      <c r="J87" s="544"/>
      <c r="K87" s="544"/>
      <c r="L87" s="544"/>
      <c r="M87" s="544"/>
      <c r="N87" s="544"/>
      <c r="O87" s="544"/>
      <c r="P87" s="544"/>
      <c r="Q87" s="544"/>
      <c r="R87" s="544"/>
      <c r="S87" s="544"/>
      <c r="T87" s="544"/>
      <c r="U87" s="544"/>
      <c r="V87" s="544"/>
      <c r="W87" s="544"/>
      <c r="X87" s="544"/>
      <c r="Y87" s="544"/>
      <c r="Z87" s="544"/>
      <c r="AA87" s="544"/>
      <c r="AB87" s="544"/>
      <c r="AC87" s="544"/>
      <c r="AD87" s="544"/>
      <c r="AE87" s="544"/>
      <c r="AF87" s="544"/>
      <c r="AG87" s="544"/>
      <c r="AH87" s="544"/>
      <c r="AI87" s="544"/>
      <c r="AJ87" s="544"/>
      <c r="AK87" s="544"/>
      <c r="AL87" s="125"/>
      <c r="AM87" s="125"/>
      <c r="AN87" s="125"/>
      <c r="AO87" s="125"/>
      <c r="AP87" s="125"/>
      <c r="AQ87" s="125"/>
      <c r="AR87" s="125"/>
      <c r="AS87" s="125"/>
      <c r="AT87" s="125"/>
      <c r="AU87" s="125"/>
      <c r="AV87" s="125"/>
      <c r="AW87" s="125"/>
    </row>
    <row r="88" spans="1:49" x14ac:dyDescent="0.15">
      <c r="A88" s="125"/>
      <c r="B88" s="186"/>
      <c r="C88" s="186"/>
      <c r="D88" s="186"/>
      <c r="E88" s="186"/>
      <c r="F88" s="186"/>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25"/>
    </row>
    <row r="89" spans="1:49" x14ac:dyDescent="0.15">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row>
    <row r="90" spans="1:49" x14ac:dyDescent="0.15">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row>
    <row r="91" spans="1:49" x14ac:dyDescent="0.15">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row>
    <row r="92" spans="1:49" x14ac:dyDescent="0.15">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row>
    <row r="93" spans="1:49" x14ac:dyDescent="0.15">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row>
    <row r="94" spans="1:49" x14ac:dyDescent="0.15">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row>
    <row r="95" spans="1:49" x14ac:dyDescent="0.15">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row>
    <row r="96" spans="1:49" x14ac:dyDescent="0.15">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row>
    <row r="97" spans="1:49" x14ac:dyDescent="0.15">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row>
    <row r="98" spans="1:49" x14ac:dyDescent="0.15">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row>
  </sheetData>
  <sheetProtection algorithmName="SHA-512" hashValue="1Oz/QhZywDRyMlLQQcJFmqh14FjgSi/RZd21VW5zVJDwspwYjpaLySrupusqbuusCt3viiw1xrUqdicRvtDAOA==" saltValue="aUcPbl2vUYfL8oH8GdX2Bg==" spinCount="100000" sheet="1" objects="1" scenarios="1"/>
  <mergeCells count="59">
    <mergeCell ref="B79:C81"/>
    <mergeCell ref="G79:AK81"/>
    <mergeCell ref="B82:C84"/>
    <mergeCell ref="G82:AK84"/>
    <mergeCell ref="B85:C87"/>
    <mergeCell ref="G85:AK87"/>
    <mergeCell ref="B70:C72"/>
    <mergeCell ref="G70:AK72"/>
    <mergeCell ref="B73:C75"/>
    <mergeCell ref="G73:AK75"/>
    <mergeCell ref="B76:C78"/>
    <mergeCell ref="G76:AK78"/>
    <mergeCell ref="B63:AV64"/>
    <mergeCell ref="B65:C66"/>
    <mergeCell ref="D65:F66"/>
    <mergeCell ref="G65:AK66"/>
    <mergeCell ref="B67:C69"/>
    <mergeCell ref="G67:AK69"/>
    <mergeCell ref="B61:AV62"/>
    <mergeCell ref="B38:C44"/>
    <mergeCell ref="G38:X44"/>
    <mergeCell ref="Y38:AV44"/>
    <mergeCell ref="B45:C50"/>
    <mergeCell ref="G45:X50"/>
    <mergeCell ref="Y45:AV50"/>
    <mergeCell ref="A53:AW54"/>
    <mergeCell ref="A55:X56"/>
    <mergeCell ref="AS55:AW56"/>
    <mergeCell ref="B57:X58"/>
    <mergeCell ref="B59:AV60"/>
    <mergeCell ref="B26:AV27"/>
    <mergeCell ref="B28:C30"/>
    <mergeCell ref="G28:X30"/>
    <mergeCell ref="Y28:AV30"/>
    <mergeCell ref="B31:C37"/>
    <mergeCell ref="G31:X37"/>
    <mergeCell ref="Y31:AV37"/>
    <mergeCell ref="B19:C21"/>
    <mergeCell ref="G19:X21"/>
    <mergeCell ref="Y19:AV21"/>
    <mergeCell ref="B22:C25"/>
    <mergeCell ref="G22:X25"/>
    <mergeCell ref="Y22:AV25"/>
    <mergeCell ref="B11:AV12"/>
    <mergeCell ref="B13:C15"/>
    <mergeCell ref="G13:X15"/>
    <mergeCell ref="Y13:AV15"/>
    <mergeCell ref="B16:C18"/>
    <mergeCell ref="G16:X18"/>
    <mergeCell ref="Y16:AV18"/>
    <mergeCell ref="B9:C10"/>
    <mergeCell ref="D9:F10"/>
    <mergeCell ref="G9:X10"/>
    <mergeCell ref="Y9:AV10"/>
    <mergeCell ref="A1:AW2"/>
    <mergeCell ref="A3:X4"/>
    <mergeCell ref="AS3:AW4"/>
    <mergeCell ref="B5:X6"/>
    <mergeCell ref="B7:AV8"/>
  </mergeCells>
  <phoneticPr fontId="1"/>
  <printOptions horizontalCentered="1"/>
  <pageMargins left="0.23622047244094491" right="0.23622047244094491" top="0.35433070866141736" bottom="0.35433070866141736" header="0.11811023622047245" footer="0.11811023622047245"/>
  <pageSetup paperSize="9" scale="97" fitToHeight="0" orientation="portrait" r:id="rId1"/>
  <rowBreaks count="1" manualBreakCount="1">
    <brk id="52" max="4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3</xdr:col>
                    <xdr:colOff>123825</xdr:colOff>
                    <xdr:row>12</xdr:row>
                    <xdr:rowOff>123825</xdr:rowOff>
                  </from>
                  <to>
                    <xdr:col>5</xdr:col>
                    <xdr:colOff>9525</xdr:colOff>
                    <xdr:row>14</xdr:row>
                    <xdr:rowOff>9525</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3</xdr:col>
                    <xdr:colOff>123825</xdr:colOff>
                    <xdr:row>15</xdr:row>
                    <xdr:rowOff>142875</xdr:rowOff>
                  </from>
                  <to>
                    <xdr:col>5</xdr:col>
                    <xdr:colOff>9525</xdr:colOff>
                    <xdr:row>17</xdr:row>
                    <xdr:rowOff>28575</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3</xdr:col>
                    <xdr:colOff>123825</xdr:colOff>
                    <xdr:row>32</xdr:row>
                    <xdr:rowOff>66675</xdr:rowOff>
                  </from>
                  <to>
                    <xdr:col>5</xdr:col>
                    <xdr:colOff>9525</xdr:colOff>
                    <xdr:row>33</xdr:row>
                    <xdr:rowOff>104775</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3</xdr:col>
                    <xdr:colOff>123825</xdr:colOff>
                    <xdr:row>18</xdr:row>
                    <xdr:rowOff>142875</xdr:rowOff>
                  </from>
                  <to>
                    <xdr:col>5</xdr:col>
                    <xdr:colOff>9525</xdr:colOff>
                    <xdr:row>20</xdr:row>
                    <xdr:rowOff>28575</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3</xdr:col>
                    <xdr:colOff>123825</xdr:colOff>
                    <xdr:row>39</xdr:row>
                    <xdr:rowOff>66675</xdr:rowOff>
                  </from>
                  <to>
                    <xdr:col>5</xdr:col>
                    <xdr:colOff>9525</xdr:colOff>
                    <xdr:row>40</xdr:row>
                    <xdr:rowOff>104775</xdr:rowOff>
                  </to>
                </anchor>
              </controlPr>
            </control>
          </mc:Choice>
        </mc:AlternateContent>
        <mc:AlternateContent xmlns:mc="http://schemas.openxmlformats.org/markup-compatibility/2006">
          <mc:Choice Requires="x14">
            <control shapeId="9222" r:id="rId9" name="Check Box 6">
              <controlPr locked="0" defaultSize="0" autoFill="0" autoLine="0" autoPict="0">
                <anchor moveWithCells="1">
                  <from>
                    <xdr:col>3</xdr:col>
                    <xdr:colOff>123825</xdr:colOff>
                    <xdr:row>46</xdr:row>
                    <xdr:rowOff>66675</xdr:rowOff>
                  </from>
                  <to>
                    <xdr:col>5</xdr:col>
                    <xdr:colOff>9525</xdr:colOff>
                    <xdr:row>47</xdr:row>
                    <xdr:rowOff>104775</xdr:rowOff>
                  </to>
                </anchor>
              </controlPr>
            </control>
          </mc:Choice>
        </mc:AlternateContent>
        <mc:AlternateContent xmlns:mc="http://schemas.openxmlformats.org/markup-compatibility/2006">
          <mc:Choice Requires="x14">
            <control shapeId="9223" r:id="rId10" name="Check Box 7">
              <controlPr locked="0" defaultSize="0" autoFill="0" autoLine="0" autoPict="0">
                <anchor moveWithCells="1">
                  <from>
                    <xdr:col>3</xdr:col>
                    <xdr:colOff>142875</xdr:colOff>
                    <xdr:row>22</xdr:row>
                    <xdr:rowOff>47625</xdr:rowOff>
                  </from>
                  <to>
                    <xdr:col>5</xdr:col>
                    <xdr:colOff>28575</xdr:colOff>
                    <xdr:row>23</xdr:row>
                    <xdr:rowOff>104775</xdr:rowOff>
                  </to>
                </anchor>
              </controlPr>
            </control>
          </mc:Choice>
        </mc:AlternateContent>
        <mc:AlternateContent xmlns:mc="http://schemas.openxmlformats.org/markup-compatibility/2006">
          <mc:Choice Requires="x14">
            <control shapeId="9224" r:id="rId11" name="Check Box 8">
              <controlPr locked="0" defaultSize="0" autoFill="0" autoLine="0" autoPict="0">
                <anchor moveWithCells="1">
                  <from>
                    <xdr:col>3</xdr:col>
                    <xdr:colOff>123825</xdr:colOff>
                    <xdr:row>27</xdr:row>
                    <xdr:rowOff>142875</xdr:rowOff>
                  </from>
                  <to>
                    <xdr:col>5</xdr:col>
                    <xdr:colOff>9525</xdr:colOff>
                    <xdr:row>29</xdr:row>
                    <xdr:rowOff>28575</xdr:rowOff>
                  </to>
                </anchor>
              </controlPr>
            </control>
          </mc:Choice>
        </mc:AlternateContent>
        <mc:AlternateContent xmlns:mc="http://schemas.openxmlformats.org/markup-compatibility/2006">
          <mc:Choice Requires="x14">
            <control shapeId="9225" r:id="rId12" name="Check Box 9">
              <controlPr locked="0" defaultSize="0" autoFill="0" autoLine="0" autoPict="0">
                <anchor moveWithCells="1">
                  <from>
                    <xdr:col>3</xdr:col>
                    <xdr:colOff>123825</xdr:colOff>
                    <xdr:row>66</xdr:row>
                    <xdr:rowOff>123825</xdr:rowOff>
                  </from>
                  <to>
                    <xdr:col>5</xdr:col>
                    <xdr:colOff>9525</xdr:colOff>
                    <xdr:row>68</xdr:row>
                    <xdr:rowOff>9525</xdr:rowOff>
                  </to>
                </anchor>
              </controlPr>
            </control>
          </mc:Choice>
        </mc:AlternateContent>
        <mc:AlternateContent xmlns:mc="http://schemas.openxmlformats.org/markup-compatibility/2006">
          <mc:Choice Requires="x14">
            <control shapeId="9226" r:id="rId13" name="Check Box 10">
              <controlPr locked="0" defaultSize="0" autoFill="0" autoLine="0" autoPict="0">
                <anchor moveWithCells="1">
                  <from>
                    <xdr:col>3</xdr:col>
                    <xdr:colOff>123825</xdr:colOff>
                    <xdr:row>69</xdr:row>
                    <xdr:rowOff>142875</xdr:rowOff>
                  </from>
                  <to>
                    <xdr:col>5</xdr:col>
                    <xdr:colOff>9525</xdr:colOff>
                    <xdr:row>71</xdr:row>
                    <xdr:rowOff>28575</xdr:rowOff>
                  </to>
                </anchor>
              </controlPr>
            </control>
          </mc:Choice>
        </mc:AlternateContent>
        <mc:AlternateContent xmlns:mc="http://schemas.openxmlformats.org/markup-compatibility/2006">
          <mc:Choice Requires="x14">
            <control shapeId="9227" r:id="rId14" name="Check Box 11">
              <controlPr locked="0" defaultSize="0" autoFill="0" autoLine="0" autoPict="0">
                <anchor moveWithCells="1">
                  <from>
                    <xdr:col>3</xdr:col>
                    <xdr:colOff>123825</xdr:colOff>
                    <xdr:row>72</xdr:row>
                    <xdr:rowOff>142875</xdr:rowOff>
                  </from>
                  <to>
                    <xdr:col>5</xdr:col>
                    <xdr:colOff>9525</xdr:colOff>
                    <xdr:row>74</xdr:row>
                    <xdr:rowOff>28575</xdr:rowOff>
                  </to>
                </anchor>
              </controlPr>
            </control>
          </mc:Choice>
        </mc:AlternateContent>
        <mc:AlternateContent xmlns:mc="http://schemas.openxmlformats.org/markup-compatibility/2006">
          <mc:Choice Requires="x14">
            <control shapeId="9228" r:id="rId15" name="Check Box 12">
              <controlPr locked="0" defaultSize="0" autoFill="0" autoLine="0" autoPict="0">
                <anchor moveWithCells="1">
                  <from>
                    <xdr:col>3</xdr:col>
                    <xdr:colOff>123825</xdr:colOff>
                    <xdr:row>75</xdr:row>
                    <xdr:rowOff>123825</xdr:rowOff>
                  </from>
                  <to>
                    <xdr:col>5</xdr:col>
                    <xdr:colOff>9525</xdr:colOff>
                    <xdr:row>77</xdr:row>
                    <xdr:rowOff>9525</xdr:rowOff>
                  </to>
                </anchor>
              </controlPr>
            </control>
          </mc:Choice>
        </mc:AlternateContent>
        <mc:AlternateContent xmlns:mc="http://schemas.openxmlformats.org/markup-compatibility/2006">
          <mc:Choice Requires="x14">
            <control shapeId="9229" r:id="rId16" name="Check Box 13">
              <controlPr locked="0" defaultSize="0" autoFill="0" autoLine="0" autoPict="0">
                <anchor moveWithCells="1">
                  <from>
                    <xdr:col>3</xdr:col>
                    <xdr:colOff>123825</xdr:colOff>
                    <xdr:row>78</xdr:row>
                    <xdr:rowOff>142875</xdr:rowOff>
                  </from>
                  <to>
                    <xdr:col>5</xdr:col>
                    <xdr:colOff>9525</xdr:colOff>
                    <xdr:row>80</xdr:row>
                    <xdr:rowOff>28575</xdr:rowOff>
                  </to>
                </anchor>
              </controlPr>
            </control>
          </mc:Choice>
        </mc:AlternateContent>
        <mc:AlternateContent xmlns:mc="http://schemas.openxmlformats.org/markup-compatibility/2006">
          <mc:Choice Requires="x14">
            <control shapeId="9230" r:id="rId17" name="Check Box 14">
              <controlPr locked="0" defaultSize="0" autoFill="0" autoLine="0" autoPict="0">
                <anchor moveWithCells="1">
                  <from>
                    <xdr:col>3</xdr:col>
                    <xdr:colOff>114300</xdr:colOff>
                    <xdr:row>82</xdr:row>
                    <xdr:rowOff>9525</xdr:rowOff>
                  </from>
                  <to>
                    <xdr:col>5</xdr:col>
                    <xdr:colOff>0</xdr:colOff>
                    <xdr:row>83</xdr:row>
                    <xdr:rowOff>47625</xdr:rowOff>
                  </to>
                </anchor>
              </controlPr>
            </control>
          </mc:Choice>
        </mc:AlternateContent>
        <mc:AlternateContent xmlns:mc="http://schemas.openxmlformats.org/markup-compatibility/2006">
          <mc:Choice Requires="x14">
            <control shapeId="9231" r:id="rId18" name="Check Box 15">
              <controlPr locked="0" defaultSize="0" autoFill="0" autoLine="0" autoPict="0">
                <anchor moveWithCells="1">
                  <from>
                    <xdr:col>3</xdr:col>
                    <xdr:colOff>123825</xdr:colOff>
                    <xdr:row>85</xdr:row>
                    <xdr:rowOff>0</xdr:rowOff>
                  </from>
                  <to>
                    <xdr:col>5</xdr:col>
                    <xdr:colOff>9525</xdr:colOff>
                    <xdr:row>86</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AFFFF-17D4-4C87-9CBE-4B0E6126BFB3}">
  <sheetPr codeName="Sheet15">
    <tabColor rgb="FF00B050"/>
  </sheetPr>
  <dimension ref="A1:E18"/>
  <sheetViews>
    <sheetView workbookViewId="0"/>
  </sheetViews>
  <sheetFormatPr defaultRowHeight="13.5" x14ac:dyDescent="0.15"/>
  <cols>
    <col min="1" max="1" width="2.75" style="91" customWidth="1"/>
    <col min="2" max="2" width="9" style="91"/>
    <col min="3" max="3" width="14.625" style="91" bestFit="1" customWidth="1"/>
    <col min="4" max="4" width="74.375" style="91" customWidth="1"/>
    <col min="5" max="5" width="17.75" style="91" customWidth="1"/>
    <col min="6" max="16384" width="9" style="91"/>
  </cols>
  <sheetData>
    <row r="1" spans="1:5" x14ac:dyDescent="0.15">
      <c r="A1" s="91" t="s">
        <v>332</v>
      </c>
    </row>
    <row r="2" spans="1:5" x14ac:dyDescent="0.15">
      <c r="B2" s="134" t="s">
        <v>333</v>
      </c>
      <c r="C2" s="134" t="s">
        <v>334</v>
      </c>
      <c r="D2" s="134" t="s">
        <v>335</v>
      </c>
      <c r="E2" s="134" t="s">
        <v>336</v>
      </c>
    </row>
    <row r="3" spans="1:5" x14ac:dyDescent="0.15">
      <c r="B3" s="135" t="s">
        <v>337</v>
      </c>
      <c r="C3" s="136">
        <v>45376</v>
      </c>
      <c r="D3" s="135" t="s">
        <v>338</v>
      </c>
      <c r="E3" s="135"/>
    </row>
    <row r="4" spans="1:5" ht="409.5" customHeight="1" x14ac:dyDescent="0.15">
      <c r="B4" s="135" t="s">
        <v>439</v>
      </c>
      <c r="C4" s="136">
        <v>45391</v>
      </c>
      <c r="D4" s="137" t="s">
        <v>438</v>
      </c>
      <c r="E4" s="135"/>
    </row>
    <row r="5" spans="1:5" ht="45" x14ac:dyDescent="0.15">
      <c r="B5" s="135" t="s">
        <v>443</v>
      </c>
      <c r="C5" s="136">
        <v>45394</v>
      </c>
      <c r="D5" s="227" t="s">
        <v>442</v>
      </c>
      <c r="E5" s="135"/>
    </row>
    <row r="6" spans="1:5" x14ac:dyDescent="0.15">
      <c r="B6" s="135"/>
      <c r="C6" s="135"/>
      <c r="D6" s="135"/>
      <c r="E6" s="135"/>
    </row>
    <row r="7" spans="1:5" x14ac:dyDescent="0.15">
      <c r="B7" s="135"/>
      <c r="C7" s="135"/>
      <c r="D7" s="135"/>
      <c r="E7" s="135"/>
    </row>
    <row r="8" spans="1:5" x14ac:dyDescent="0.15">
      <c r="B8" s="135"/>
      <c r="C8" s="135"/>
      <c r="D8" s="135"/>
      <c r="E8" s="135"/>
    </row>
    <row r="9" spans="1:5" x14ac:dyDescent="0.15">
      <c r="B9" s="135"/>
      <c r="C9" s="135"/>
      <c r="D9" s="135"/>
      <c r="E9" s="135"/>
    </row>
    <row r="10" spans="1:5" x14ac:dyDescent="0.15">
      <c r="B10" s="135"/>
      <c r="C10" s="135"/>
      <c r="D10" s="135"/>
      <c r="E10" s="135"/>
    </row>
    <row r="11" spans="1:5" x14ac:dyDescent="0.15">
      <c r="B11" s="135"/>
      <c r="C11" s="135"/>
      <c r="D11" s="135"/>
      <c r="E11" s="135"/>
    </row>
    <row r="12" spans="1:5" x14ac:dyDescent="0.15">
      <c r="B12" s="135"/>
      <c r="C12" s="135"/>
      <c r="D12" s="135"/>
      <c r="E12" s="135"/>
    </row>
    <row r="13" spans="1:5" x14ac:dyDescent="0.15">
      <c r="B13" s="135"/>
      <c r="C13" s="135"/>
      <c r="D13" s="135"/>
      <c r="E13" s="135"/>
    </row>
    <row r="14" spans="1:5" x14ac:dyDescent="0.15">
      <c r="B14" s="135"/>
      <c r="C14" s="135"/>
      <c r="D14" s="135"/>
      <c r="E14" s="135"/>
    </row>
    <row r="15" spans="1:5" x14ac:dyDescent="0.15">
      <c r="B15" s="135"/>
      <c r="C15" s="135"/>
      <c r="D15" s="135"/>
      <c r="E15" s="135"/>
    </row>
    <row r="16" spans="1:5" x14ac:dyDescent="0.15">
      <c r="B16" s="135"/>
      <c r="C16" s="135"/>
      <c r="D16" s="135"/>
      <c r="E16" s="135"/>
    </row>
    <row r="17" spans="2:5" x14ac:dyDescent="0.15">
      <c r="B17" s="135"/>
      <c r="C17" s="135"/>
      <c r="D17" s="135"/>
      <c r="E17" s="135"/>
    </row>
    <row r="18" spans="2:5" x14ac:dyDescent="0.15">
      <c r="B18" s="135"/>
      <c r="C18" s="135"/>
      <c r="D18" s="135"/>
      <c r="E18" s="135"/>
    </row>
  </sheetData>
  <sheetProtection algorithmName="SHA-512" hashValue="qDXrfjxNwLnAMdLQvsxoV4h8I+C7NVnLnBAsizYoFlOYRGy7kvvLt6CMZkdYIfe2GfJQ2KQRqcBPet6FKXSwdw==" saltValue="YsLn1xGmY0ta9Mk+F4Gp+g==" spinCount="100000" sheet="1" objects="1" scenarios="1"/>
  <phoneticPr fontId="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C288E-9C76-42D8-8D59-5D852D5A8281}">
  <sheetPr codeName="Sheet14">
    <tabColor rgb="FF00B050"/>
  </sheetPr>
  <dimension ref="A2:G23"/>
  <sheetViews>
    <sheetView workbookViewId="0"/>
  </sheetViews>
  <sheetFormatPr defaultRowHeight="13.5" x14ac:dyDescent="0.15"/>
  <cols>
    <col min="1" max="1" width="7.375" style="91" customWidth="1"/>
    <col min="2" max="2" width="19" style="91" customWidth="1"/>
    <col min="3" max="3" width="25" style="91" customWidth="1"/>
    <col min="4" max="4" width="14.75" style="91" customWidth="1"/>
    <col min="5" max="5" width="19" style="91" customWidth="1"/>
    <col min="6" max="6" width="13.875" style="91" customWidth="1"/>
    <col min="7" max="7" width="19" style="91" customWidth="1"/>
    <col min="8" max="16384" width="9" style="91"/>
  </cols>
  <sheetData>
    <row r="2" spans="1:7" x14ac:dyDescent="0.15">
      <c r="A2" s="546" t="s">
        <v>339</v>
      </c>
      <c r="B2" s="546"/>
      <c r="C2" s="135" t="str">
        <f>"CT0007-"&amp;E4</f>
        <v>CT0007-</v>
      </c>
    </row>
    <row r="4" spans="1:7" x14ac:dyDescent="0.15">
      <c r="B4" s="134" t="s">
        <v>3</v>
      </c>
      <c r="C4" s="155" t="str">
        <f>製品カテゴリ</f>
        <v>AGV・AMR</v>
      </c>
      <c r="D4" s="156" t="s">
        <v>340</v>
      </c>
      <c r="E4" s="157"/>
    </row>
    <row r="5" spans="1:7" x14ac:dyDescent="0.15">
      <c r="B5" s="134" t="s">
        <v>341</v>
      </c>
      <c r="C5" s="135">
        <f>製造事業者名</f>
        <v>0</v>
      </c>
      <c r="D5" s="134" t="s">
        <v>361</v>
      </c>
      <c r="E5" s="155">
        <f>製品区分</f>
        <v>0</v>
      </c>
    </row>
    <row r="6" spans="1:7" x14ac:dyDescent="0.15">
      <c r="B6" s="134" t="s">
        <v>342</v>
      </c>
      <c r="C6" s="135">
        <f>型番</f>
        <v>0</v>
      </c>
    </row>
    <row r="7" spans="1:7" x14ac:dyDescent="0.15">
      <c r="B7" s="134" t="s">
        <v>14</v>
      </c>
      <c r="C7" s="226">
        <f>機器費用</f>
        <v>0</v>
      </c>
      <c r="D7" s="91" t="s">
        <v>441</v>
      </c>
    </row>
    <row r="8" spans="1:7" x14ac:dyDescent="0.15">
      <c r="B8" s="134" t="s">
        <v>16</v>
      </c>
      <c r="C8" s="226">
        <f>設定費用</f>
        <v>0</v>
      </c>
      <c r="D8" s="91" t="s">
        <v>441</v>
      </c>
    </row>
    <row r="10" spans="1:7" x14ac:dyDescent="0.15">
      <c r="D10" s="152" t="s">
        <v>343</v>
      </c>
      <c r="E10" s="156"/>
      <c r="F10" s="152" t="s">
        <v>344</v>
      </c>
      <c r="G10" s="156"/>
    </row>
    <row r="11" spans="1:7" x14ac:dyDescent="0.15">
      <c r="A11" s="158" t="s">
        <v>345</v>
      </c>
      <c r="B11" s="159" t="s">
        <v>4</v>
      </c>
      <c r="C11" s="160" t="s">
        <v>346</v>
      </c>
      <c r="D11" s="159" t="s">
        <v>343</v>
      </c>
      <c r="E11" s="161" t="s">
        <v>347</v>
      </c>
      <c r="F11" s="159" t="s">
        <v>348</v>
      </c>
      <c r="G11" s="161" t="s">
        <v>347</v>
      </c>
    </row>
    <row r="12" spans="1:7" x14ac:dyDescent="0.15">
      <c r="A12" s="162" t="s">
        <v>349</v>
      </c>
      <c r="B12" s="163" t="s">
        <v>80</v>
      </c>
      <c r="C12" s="164" t="s">
        <v>77</v>
      </c>
      <c r="D12" s="165" t="e">
        <f>省指_倉庫小</f>
        <v>#DIV/0!</v>
      </c>
      <c r="E12" s="166" t="e">
        <f>審1_倉庫小</f>
        <v>#DIV/0!</v>
      </c>
      <c r="F12" s="165" t="e">
        <f>投資_倉庫小</f>
        <v>#DIV/0!</v>
      </c>
      <c r="G12" s="166" t="e">
        <f>審2_倉庫小</f>
        <v>#DIV/0!</v>
      </c>
    </row>
    <row r="13" spans="1:7" x14ac:dyDescent="0.15">
      <c r="A13" s="167" t="s">
        <v>349</v>
      </c>
      <c r="B13" s="168" t="s">
        <v>80</v>
      </c>
      <c r="C13" s="169" t="s">
        <v>78</v>
      </c>
      <c r="D13" s="170" t="e">
        <f>省指_倉庫中</f>
        <v>#DIV/0!</v>
      </c>
      <c r="E13" s="171" t="e">
        <f>審1_倉庫中</f>
        <v>#DIV/0!</v>
      </c>
      <c r="F13" s="170" t="e">
        <f>投資_倉庫中</f>
        <v>#DIV/0!</v>
      </c>
      <c r="G13" s="171" t="e">
        <f>審2_倉庫中</f>
        <v>#DIV/0!</v>
      </c>
    </row>
    <row r="14" spans="1:7" x14ac:dyDescent="0.15">
      <c r="A14" s="172" t="s">
        <v>349</v>
      </c>
      <c r="B14" s="173" t="s">
        <v>80</v>
      </c>
      <c r="C14" s="174" t="s">
        <v>79</v>
      </c>
      <c r="D14" s="175" t="e">
        <f>省指_倉庫大</f>
        <v>#DIV/0!</v>
      </c>
      <c r="E14" s="176" t="e">
        <f>審1_倉庫大</f>
        <v>#DIV/0!</v>
      </c>
      <c r="F14" s="175" t="e">
        <f>投資_倉庫大</f>
        <v>#DIV/0!</v>
      </c>
      <c r="G14" s="176" t="e">
        <f>審2_倉庫大</f>
        <v>#DIV/0!</v>
      </c>
    </row>
    <row r="15" spans="1:7" x14ac:dyDescent="0.15">
      <c r="A15" s="162" t="s">
        <v>349</v>
      </c>
      <c r="B15" s="163" t="s">
        <v>358</v>
      </c>
      <c r="C15" s="164" t="s">
        <v>77</v>
      </c>
      <c r="D15" s="165" t="e">
        <f>省指_卸売小</f>
        <v>#DIV/0!</v>
      </c>
      <c r="E15" s="166" t="e">
        <f>審1_卸売小</f>
        <v>#DIV/0!</v>
      </c>
      <c r="F15" s="165" t="e">
        <f>投資_卸売小</f>
        <v>#DIV/0!</v>
      </c>
      <c r="G15" s="166" t="e">
        <f>審2_卸売小</f>
        <v>#DIV/0!</v>
      </c>
    </row>
    <row r="16" spans="1:7" x14ac:dyDescent="0.15">
      <c r="A16" s="167" t="s">
        <v>349</v>
      </c>
      <c r="B16" s="168" t="s">
        <v>358</v>
      </c>
      <c r="C16" s="169" t="s">
        <v>78</v>
      </c>
      <c r="D16" s="170" t="e">
        <f>省指_卸売中</f>
        <v>#DIV/0!</v>
      </c>
      <c r="E16" s="171" t="e">
        <f>審1_卸売中</f>
        <v>#DIV/0!</v>
      </c>
      <c r="F16" s="170" t="e">
        <f>投資_卸売中</f>
        <v>#DIV/0!</v>
      </c>
      <c r="G16" s="171" t="e">
        <f>審2_卸売中</f>
        <v>#DIV/0!</v>
      </c>
    </row>
    <row r="17" spans="1:7" x14ac:dyDescent="0.15">
      <c r="A17" s="172" t="s">
        <v>349</v>
      </c>
      <c r="B17" s="173" t="s">
        <v>358</v>
      </c>
      <c r="C17" s="174" t="s">
        <v>79</v>
      </c>
      <c r="D17" s="175" t="e">
        <f>省指_卸売大</f>
        <v>#DIV/0!</v>
      </c>
      <c r="E17" s="176" t="e">
        <f>審1_卸売大</f>
        <v>#DIV/0!</v>
      </c>
      <c r="F17" s="175" t="e">
        <f>投資_卸売大</f>
        <v>#DIV/0!</v>
      </c>
      <c r="G17" s="176" t="e">
        <f>審2_卸売大</f>
        <v>#DIV/0!</v>
      </c>
    </row>
    <row r="18" spans="1:7" x14ac:dyDescent="0.15">
      <c r="A18" s="162" t="s">
        <v>349</v>
      </c>
      <c r="B18" s="163" t="s">
        <v>359</v>
      </c>
      <c r="C18" s="164" t="s">
        <v>77</v>
      </c>
      <c r="D18" s="165" t="e">
        <f>省指_小売小</f>
        <v>#DIV/0!</v>
      </c>
      <c r="E18" s="166" t="e">
        <f>審1_小売小</f>
        <v>#DIV/0!</v>
      </c>
      <c r="F18" s="165" t="e">
        <f>投資_小売小</f>
        <v>#DIV/0!</v>
      </c>
      <c r="G18" s="166" t="e">
        <f>審2_小売小</f>
        <v>#DIV/0!</v>
      </c>
    </row>
    <row r="19" spans="1:7" x14ac:dyDescent="0.15">
      <c r="A19" s="167" t="s">
        <v>349</v>
      </c>
      <c r="B19" s="168" t="s">
        <v>359</v>
      </c>
      <c r="C19" s="169" t="s">
        <v>78</v>
      </c>
      <c r="D19" s="170" t="e">
        <f>省指_小売中</f>
        <v>#DIV/0!</v>
      </c>
      <c r="E19" s="171" t="e">
        <f>審1_小売中</f>
        <v>#DIV/0!</v>
      </c>
      <c r="F19" s="170" t="e">
        <f>投資_小売中</f>
        <v>#DIV/0!</v>
      </c>
      <c r="G19" s="171" t="e">
        <f>審2_小売中</f>
        <v>#DIV/0!</v>
      </c>
    </row>
    <row r="20" spans="1:7" x14ac:dyDescent="0.15">
      <c r="A20" s="172" t="s">
        <v>349</v>
      </c>
      <c r="B20" s="173" t="s">
        <v>359</v>
      </c>
      <c r="C20" s="174" t="s">
        <v>79</v>
      </c>
      <c r="D20" s="175" t="e">
        <f>省指_小売大</f>
        <v>#DIV/0!</v>
      </c>
      <c r="E20" s="176" t="e">
        <f>審1_小売大</f>
        <v>#DIV/0!</v>
      </c>
      <c r="F20" s="175" t="e">
        <f>投資_小売大</f>
        <v>#DIV/0!</v>
      </c>
      <c r="G20" s="176" t="e">
        <f>審2_小売大</f>
        <v>#DIV/0!</v>
      </c>
    </row>
    <row r="21" spans="1:7" x14ac:dyDescent="0.15">
      <c r="A21" s="162" t="s">
        <v>349</v>
      </c>
      <c r="B21" s="163" t="s">
        <v>131</v>
      </c>
      <c r="C21" s="164" t="s">
        <v>77</v>
      </c>
      <c r="D21" s="165" t="e">
        <f>省指_製造小</f>
        <v>#DIV/0!</v>
      </c>
      <c r="E21" s="166" t="e">
        <f>審1_製造小</f>
        <v>#DIV/0!</v>
      </c>
      <c r="F21" s="165" t="e">
        <f>投資_製造小</f>
        <v>#DIV/0!</v>
      </c>
      <c r="G21" s="166" t="e">
        <f>審2_製造小</f>
        <v>#DIV/0!</v>
      </c>
    </row>
    <row r="22" spans="1:7" x14ac:dyDescent="0.15">
      <c r="A22" s="167" t="s">
        <v>349</v>
      </c>
      <c r="B22" s="168" t="s">
        <v>131</v>
      </c>
      <c r="C22" s="169" t="s">
        <v>78</v>
      </c>
      <c r="D22" s="170" t="e">
        <f>省指_製造中</f>
        <v>#DIV/0!</v>
      </c>
      <c r="E22" s="171" t="e">
        <f>審1_製造中</f>
        <v>#DIV/0!</v>
      </c>
      <c r="F22" s="170" t="e">
        <f>投資_製造中</f>
        <v>#DIV/0!</v>
      </c>
      <c r="G22" s="171" t="e">
        <f>審2_製造中</f>
        <v>#DIV/0!</v>
      </c>
    </row>
    <row r="23" spans="1:7" x14ac:dyDescent="0.15">
      <c r="A23" s="172" t="s">
        <v>349</v>
      </c>
      <c r="B23" s="173" t="s">
        <v>131</v>
      </c>
      <c r="C23" s="174" t="s">
        <v>79</v>
      </c>
      <c r="D23" s="175" t="e">
        <f>省指_製造大</f>
        <v>#DIV/0!</v>
      </c>
      <c r="E23" s="176" t="e">
        <f>審1_製造大</f>
        <v>#DIV/0!</v>
      </c>
      <c r="F23" s="175" t="e">
        <f>投資_製造大</f>
        <v>#DIV/0!</v>
      </c>
      <c r="G23" s="176" t="e">
        <f>審2_製造大</f>
        <v>#DIV/0!</v>
      </c>
    </row>
  </sheetData>
  <sheetProtection algorithmName="SHA-512" hashValue="CdbgVGA4fWiuptrt9NOf6uSUEa8VDWDVq+iCM3+nhamW52J+7X5YH8Ixhz3jccQtKTlB/X1lyWd2JK3R2rBzsQ==" saltValue="5f/7IA7suvSv0JBkcA2Rzg==" spinCount="100000" sheet="1" objects="1" scenarios="1"/>
  <mergeCells count="1">
    <mergeCell ref="A2:B2"/>
  </mergeCells>
  <phoneticPr fontId="1"/>
  <conditionalFormatting sqref="E12:E23 G12:G23">
    <cfRule type="cellIs" dxfId="1" priority="1" operator="equal">
      <formula>"適格"</formula>
    </cfRule>
    <cfRule type="cellIs" dxfId="0" priority="2" operator="equal">
      <formula>"不適"</formula>
    </cfRule>
  </conditionalFormatting>
  <hyperlinks>
    <hyperlink ref="A12" location="'審査結果（倉庫業－小規模）'!A1" display="リンク" xr:uid="{817E6841-A1BD-4B99-BE70-12645DEB89DF}"/>
    <hyperlink ref="A13" location="'審査結果（倉庫業－中規模） '!A1" display="リンク" xr:uid="{52F2200D-B2F9-49D5-A999-776729BEBDDB}"/>
    <hyperlink ref="A14" location="'審査結果（倉庫業－大規模）'!A1" display="リンク" xr:uid="{E58566F2-2AE4-4B28-8F52-D4A02466CC38}"/>
    <hyperlink ref="A15" location="'審査結果（卸売業－小規模）'!A1" display="リンク" xr:uid="{07E275F7-91BC-4D30-AC0C-2A3FA00F31F3}"/>
    <hyperlink ref="A16" location="'審査結果（卸売業－中規模）'!A1" display="リンク" xr:uid="{837CF667-45F2-4BED-A7FC-5B95CF509890}"/>
    <hyperlink ref="A17" location="'審査結果（卸売業－大規模）'!A1" display="リンク" xr:uid="{B17A1AC8-63CC-4F09-8A30-A00FB3B4F63C}"/>
    <hyperlink ref="A21" location="'審査結果（製造業－小規模）'!A1" display="リンク" xr:uid="{61502EAD-200A-4A89-B0B1-E585314AEFE1}"/>
    <hyperlink ref="A22" location="'審査結果（製造業－中規模）'!A1" display="リンク" xr:uid="{E91D476D-30E7-4248-846F-1D57844EF263}"/>
    <hyperlink ref="A23" location="'審査結果（製造業－大規模）'!A1" display="リンク" xr:uid="{B54C6129-3E72-4D1A-A95D-7607F568C42C}"/>
    <hyperlink ref="A18" location="'審査結果（小売業－小規模）'!A1" display="リンク" xr:uid="{80D39BA2-C6E1-48F3-AE57-49B782874F61}"/>
    <hyperlink ref="A19" location="'審査結果（小売業－中規模）'!A1" display="リンク" xr:uid="{7523D089-C85D-4B1D-996D-92362F564FEB}"/>
    <hyperlink ref="A20" location="'審査結果（小売業－大規模）'!A1" display="リンク" xr:uid="{93C523FA-5A80-4FC3-8378-6806E255714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611CE-BEF6-4580-86AB-0E9C48DD1C4D}">
  <sheetPr codeName="Sheet26">
    <tabColor rgb="FF00B050"/>
    <pageSetUpPr fitToPage="1"/>
  </sheetPr>
  <dimension ref="A1:N20"/>
  <sheetViews>
    <sheetView workbookViewId="0"/>
  </sheetViews>
  <sheetFormatPr defaultRowHeight="13.5" x14ac:dyDescent="0.15"/>
  <cols>
    <col min="1" max="1" width="27.375" bestFit="1" customWidth="1"/>
    <col min="2" max="2" width="7.125" bestFit="1" customWidth="1"/>
    <col min="4" max="11" width="15.25" bestFit="1" customWidth="1"/>
  </cols>
  <sheetData>
    <row r="1" spans="1:14" x14ac:dyDescent="0.15">
      <c r="A1" t="s">
        <v>148</v>
      </c>
      <c r="B1" t="s">
        <v>4</v>
      </c>
      <c r="D1" t="s">
        <v>149</v>
      </c>
      <c r="E1" t="s">
        <v>150</v>
      </c>
      <c r="F1" t="s">
        <v>151</v>
      </c>
      <c r="G1" t="s">
        <v>152</v>
      </c>
      <c r="H1" t="s">
        <v>153</v>
      </c>
      <c r="I1" t="s">
        <v>154</v>
      </c>
      <c r="J1" t="s">
        <v>155</v>
      </c>
      <c r="K1" t="s">
        <v>156</v>
      </c>
      <c r="L1" t="s">
        <v>12</v>
      </c>
      <c r="M1" t="s">
        <v>157</v>
      </c>
      <c r="N1" t="s">
        <v>158</v>
      </c>
    </row>
    <row r="2" spans="1:14" x14ac:dyDescent="0.15">
      <c r="A2" t="s">
        <v>159</v>
      </c>
      <c r="B2" t="s">
        <v>160</v>
      </c>
      <c r="D2" t="s">
        <v>161</v>
      </c>
      <c r="E2" t="s">
        <v>162</v>
      </c>
      <c r="F2" t="s">
        <v>162</v>
      </c>
      <c r="G2" t="s">
        <v>162</v>
      </c>
      <c r="H2" t="s">
        <v>162</v>
      </c>
      <c r="I2" t="s">
        <v>162</v>
      </c>
      <c r="J2" t="s">
        <v>162</v>
      </c>
      <c r="K2" t="s">
        <v>162</v>
      </c>
      <c r="L2" t="s">
        <v>163</v>
      </c>
      <c r="M2" t="s">
        <v>164</v>
      </c>
      <c r="N2" t="s">
        <v>9</v>
      </c>
    </row>
    <row r="3" spans="1:14" x14ac:dyDescent="0.15">
      <c r="A3" t="s">
        <v>165</v>
      </c>
      <c r="B3" t="s">
        <v>166</v>
      </c>
      <c r="D3" t="s">
        <v>167</v>
      </c>
      <c r="E3" t="s">
        <v>168</v>
      </c>
      <c r="F3" t="s">
        <v>168</v>
      </c>
      <c r="G3" t="s">
        <v>168</v>
      </c>
      <c r="H3" t="s">
        <v>168</v>
      </c>
      <c r="I3" t="s">
        <v>168</v>
      </c>
      <c r="J3" t="s">
        <v>169</v>
      </c>
      <c r="K3" t="s">
        <v>170</v>
      </c>
    </row>
    <row r="4" spans="1:14" x14ac:dyDescent="0.15">
      <c r="A4" t="s">
        <v>171</v>
      </c>
      <c r="B4" t="s">
        <v>131</v>
      </c>
      <c r="D4" t="s">
        <v>172</v>
      </c>
      <c r="E4" t="s">
        <v>173</v>
      </c>
      <c r="F4" t="s">
        <v>173</v>
      </c>
      <c r="G4" t="s">
        <v>170</v>
      </c>
      <c r="H4" t="s">
        <v>170</v>
      </c>
      <c r="I4" t="s">
        <v>170</v>
      </c>
      <c r="J4" t="s">
        <v>174</v>
      </c>
      <c r="K4" t="s">
        <v>175</v>
      </c>
    </row>
    <row r="5" spans="1:14" x14ac:dyDescent="0.15">
      <c r="A5" t="s">
        <v>176</v>
      </c>
      <c r="B5" t="s">
        <v>80</v>
      </c>
      <c r="E5" t="s">
        <v>177</v>
      </c>
      <c r="F5" t="s">
        <v>178</v>
      </c>
      <c r="G5" t="s">
        <v>179</v>
      </c>
      <c r="H5" t="s">
        <v>179</v>
      </c>
      <c r="I5" t="s">
        <v>179</v>
      </c>
      <c r="J5" t="s">
        <v>180</v>
      </c>
      <c r="K5" t="s">
        <v>180</v>
      </c>
    </row>
    <row r="6" spans="1:14" x14ac:dyDescent="0.15">
      <c r="A6" t="s">
        <v>181</v>
      </c>
      <c r="B6" t="s">
        <v>182</v>
      </c>
      <c r="E6" t="s">
        <v>183</v>
      </c>
      <c r="F6" t="s">
        <v>184</v>
      </c>
      <c r="G6" t="s">
        <v>6</v>
      </c>
      <c r="H6" t="s">
        <v>6</v>
      </c>
      <c r="I6" t="s">
        <v>185</v>
      </c>
      <c r="J6" t="s">
        <v>186</v>
      </c>
      <c r="K6" t="s">
        <v>186</v>
      </c>
    </row>
    <row r="7" spans="1:14" x14ac:dyDescent="0.15">
      <c r="A7" t="s">
        <v>187</v>
      </c>
      <c r="B7" t="s">
        <v>126</v>
      </c>
      <c r="E7" t="s">
        <v>184</v>
      </c>
      <c r="F7" t="s">
        <v>179</v>
      </c>
      <c r="G7" t="s">
        <v>188</v>
      </c>
      <c r="H7" t="s">
        <v>188</v>
      </c>
      <c r="I7" t="s">
        <v>189</v>
      </c>
      <c r="J7" t="s">
        <v>189</v>
      </c>
      <c r="K7" t="s">
        <v>189</v>
      </c>
    </row>
    <row r="8" spans="1:14" x14ac:dyDescent="0.15">
      <c r="A8" t="s">
        <v>190</v>
      </c>
      <c r="B8" t="s">
        <v>191</v>
      </c>
      <c r="E8" t="s">
        <v>192</v>
      </c>
      <c r="F8" t="s">
        <v>6</v>
      </c>
      <c r="G8" t="s">
        <v>193</v>
      </c>
      <c r="H8" t="s">
        <v>193</v>
      </c>
      <c r="I8" t="s">
        <v>194</v>
      </c>
      <c r="J8" t="s">
        <v>195</v>
      </c>
      <c r="K8" t="s">
        <v>196</v>
      </c>
    </row>
    <row r="9" spans="1:14" x14ac:dyDescent="0.15">
      <c r="A9" t="s">
        <v>197</v>
      </c>
      <c r="B9" t="s">
        <v>198</v>
      </c>
      <c r="E9" t="s">
        <v>199</v>
      </c>
      <c r="F9" t="s">
        <v>194</v>
      </c>
      <c r="G9" t="s">
        <v>200</v>
      </c>
      <c r="H9" t="s">
        <v>189</v>
      </c>
      <c r="I9" t="s">
        <v>199</v>
      </c>
      <c r="J9" t="s">
        <v>196</v>
      </c>
    </row>
    <row r="10" spans="1:14" x14ac:dyDescent="0.15">
      <c r="A10" t="s">
        <v>201</v>
      </c>
      <c r="F10" t="s">
        <v>199</v>
      </c>
      <c r="H10" t="s">
        <v>196</v>
      </c>
    </row>
    <row r="11" spans="1:14" x14ac:dyDescent="0.15">
      <c r="A11" t="s">
        <v>202</v>
      </c>
    </row>
    <row r="17" spans="3:4" x14ac:dyDescent="0.15">
      <c r="C17" s="3"/>
      <c r="D17" t="s">
        <v>203</v>
      </c>
    </row>
    <row r="18" spans="3:4" x14ac:dyDescent="0.15">
      <c r="C18" s="2"/>
      <c r="D18" t="s">
        <v>204</v>
      </c>
    </row>
    <row r="19" spans="3:4" ht="14.25" thickBot="1" x14ac:dyDescent="0.2">
      <c r="C19" s="30"/>
      <c r="D19" t="s">
        <v>205</v>
      </c>
    </row>
    <row r="20" spans="3:4" ht="14.25" thickBot="1" x14ac:dyDescent="0.2">
      <c r="C20" s="31"/>
      <c r="D20" t="s">
        <v>206</v>
      </c>
    </row>
  </sheetData>
  <sheetProtection algorithmName="SHA-512" hashValue="lF0Q2h3sZABuXzY/MQbboCOotf1ROFP7vvq2xXqQluNv4f30waNXM7AEOFqKJCkbVVyZpyONIPODnI50z0428g==" saltValue="LinEzvXJ4r2z1+MQX5VnFA==" spinCount="100000" sheet="1" objects="1" scenarios="1"/>
  <phoneticPr fontId="1"/>
  <pageMargins left="0.7" right="0.7" top="0.75" bottom="0.75" header="0.3" footer="0.3"/>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7c8ab06-be12-4182-a5e2-d09979f2b532">
      <Terms xmlns="http://schemas.microsoft.com/office/infopath/2007/PartnerControls"/>
    </lcf76f155ced4ddcb4097134ff3c332f>
    <TaxCatchAll xmlns="5250a967-a580-475d-8af3-8623006b46c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60B8346AF41D840B81C1003945DEC1E" ma:contentTypeVersion="11" ma:contentTypeDescription="新しいドキュメントを作成します。" ma:contentTypeScope="" ma:versionID="74a435170c275c7a79d63e312f7fc3c0">
  <xsd:schema xmlns:xsd="http://www.w3.org/2001/XMLSchema" xmlns:xs="http://www.w3.org/2001/XMLSchema" xmlns:p="http://schemas.microsoft.com/office/2006/metadata/properties" xmlns:ns2="17c8ab06-be12-4182-a5e2-d09979f2b532" xmlns:ns3="5250a967-a580-475d-8af3-8623006b46cb" targetNamespace="http://schemas.microsoft.com/office/2006/metadata/properties" ma:root="true" ma:fieldsID="b9c7bea9ade8303ed114ea2c6bd92263" ns2:_="" ns3:_="">
    <xsd:import namespace="17c8ab06-be12-4182-a5e2-d09979f2b532"/>
    <xsd:import namespace="5250a967-a580-475d-8af3-8623006b46c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8ab06-be12-4182-a5e2-d09979f2b5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4f350e5-5ca2-406b-a649-80dd3726bd7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50a967-a580-475d-8af3-8623006b46c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2e544ec-38e8-479a-b40f-29e9fdcfe2e3}" ma:internalName="TaxCatchAll" ma:showField="CatchAllData" ma:web="5250a967-a580-475d-8af3-8623006b46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FE2DD2-3085-47EC-8725-8CDFC15CED11}">
  <ds:schemaRefs>
    <ds:schemaRef ds:uri="http://schemas.microsoft.com/sharepoint/v3/contenttype/forms"/>
  </ds:schemaRefs>
</ds:datastoreItem>
</file>

<file path=customXml/itemProps2.xml><?xml version="1.0" encoding="utf-8"?>
<ds:datastoreItem xmlns:ds="http://schemas.openxmlformats.org/officeDocument/2006/customXml" ds:itemID="{652BFFD6-8EB1-40AF-AAFD-8C715031E7AF}">
  <ds:schemaRefs>
    <ds:schemaRef ds:uri="http://purl.org/dc/dcmitype/"/>
    <ds:schemaRef ds:uri="http://purl.org/dc/elements/1.1/"/>
    <ds:schemaRef ds:uri="http://schemas.openxmlformats.org/package/2006/metadata/core-properties"/>
    <ds:schemaRef ds:uri="http://purl.org/dc/terms/"/>
    <ds:schemaRef ds:uri="142cd4d1-bbe9-45ff-ab69-089cfe326205"/>
    <ds:schemaRef ds:uri="7c670684-a1a9-4afc-8cdd-6e8f7c452b8d"/>
    <ds:schemaRef ds:uri="http://www.w3.org/XML/1998/namespac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6231C110-2727-4753-AF50-3150112B7334}"/>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78</vt:i4>
      </vt:variant>
    </vt:vector>
  </HeadingPairs>
  <TitlesOfParts>
    <vt:vector size="100" baseType="lpstr">
      <vt:lpstr>①製品審査申請書（工業会用）</vt:lpstr>
      <vt:lpstr>②製品審査申請書（事務局用）</vt:lpstr>
      <vt:lpstr>③納品実績報告書</vt:lpstr>
      <vt:lpstr>④省力化製品製造事業者登録申請書</vt:lpstr>
      <vt:lpstr>⑤カタログ掲載情報</vt:lpstr>
      <vt:lpstr>⑥提出書類一覧</vt:lpstr>
      <vt:lpstr>審査結果（倉庫業－小規模）</vt:lpstr>
      <vt:lpstr>審査結果（倉庫業－中規模） </vt:lpstr>
      <vt:lpstr>審査結果（倉庫業－大規模）</vt:lpstr>
      <vt:lpstr>利用が想定される中小企業（倉庫業）</vt:lpstr>
      <vt:lpstr>審査結果（卸売業－小規模）</vt:lpstr>
      <vt:lpstr>審査結果（卸売業－中規模）</vt:lpstr>
      <vt:lpstr>審査結果（卸売業－大規模）</vt:lpstr>
      <vt:lpstr>利用が想定される中小企業（卸売業）</vt:lpstr>
      <vt:lpstr>審査結果（小売業－小規模）</vt:lpstr>
      <vt:lpstr>審査結果（小売業－中規模）</vt:lpstr>
      <vt:lpstr>審査結果（小売業－大規模）</vt:lpstr>
      <vt:lpstr>利用が想定される中小企業（小売業）</vt:lpstr>
      <vt:lpstr>審査結果（製造業－小規模）</vt:lpstr>
      <vt:lpstr>審査結果（製造業－中規模）</vt:lpstr>
      <vt:lpstr>審査結果（製造業－大規模）</vt:lpstr>
      <vt:lpstr>利用が想定される中小企業（製造業）</vt:lpstr>
      <vt:lpstr>'①製品審査申請書（工業会用）'!Print_Area</vt:lpstr>
      <vt:lpstr>'②製品審査申請書（事務局用）'!Print_Area</vt:lpstr>
      <vt:lpstr>③納品実績報告書!Print_Area</vt:lpstr>
      <vt:lpstr>④省力化製品製造事業者登録申請書!Print_Area</vt:lpstr>
      <vt:lpstr>⑤カタログ掲載情報!Print_Area</vt:lpstr>
      <vt:lpstr>⑥提出書類一覧!Print_Area</vt:lpstr>
      <vt:lpstr>'審査結果（製造業－大規模）'!Print_Area</vt:lpstr>
      <vt:lpstr>'審査結果（製造業－中規模）'!Print_Area</vt:lpstr>
      <vt:lpstr>'利用が想定される中小企業（卸売業）'!Print_Area</vt:lpstr>
      <vt:lpstr>'利用が想定される中小企業（小売業）'!Print_Area</vt:lpstr>
      <vt:lpstr>'利用が想定される中小企業（製造業）'!Print_Area</vt:lpstr>
      <vt:lpstr>'利用が想定される中小企業（倉庫業）'!Print_Area</vt:lpstr>
      <vt:lpstr>③納品実績報告書!Print_Titles</vt:lpstr>
      <vt:lpstr>ルート設定方法</vt:lpstr>
      <vt:lpstr>機器費用</vt:lpstr>
      <vt:lpstr>型番</vt:lpstr>
      <vt:lpstr>最大搬送重量</vt:lpstr>
      <vt:lpstr>事業者URL</vt:lpstr>
      <vt:lpstr>所在地</vt:lpstr>
      <vt:lpstr>省指_卸売小</vt:lpstr>
      <vt:lpstr>省指_卸売大</vt:lpstr>
      <vt:lpstr>省指_卸売中</vt:lpstr>
      <vt:lpstr>省指_小売小</vt:lpstr>
      <vt:lpstr>省指_小売大</vt:lpstr>
      <vt:lpstr>省指_小売中</vt:lpstr>
      <vt:lpstr>省指_製造小</vt:lpstr>
      <vt:lpstr>省指_製造大</vt:lpstr>
      <vt:lpstr>省指_製造中</vt:lpstr>
      <vt:lpstr>省指_倉庫小</vt:lpstr>
      <vt:lpstr>省指_倉庫大</vt:lpstr>
      <vt:lpstr>省指_倉庫中</vt:lpstr>
      <vt:lpstr>審1_卸売小</vt:lpstr>
      <vt:lpstr>審1_卸売大</vt:lpstr>
      <vt:lpstr>審1_卸売中</vt:lpstr>
      <vt:lpstr>審1_小売小</vt:lpstr>
      <vt:lpstr>審1_小売大</vt:lpstr>
      <vt:lpstr>審1_小売中</vt:lpstr>
      <vt:lpstr>審1_製造小</vt:lpstr>
      <vt:lpstr>審1_製造大</vt:lpstr>
      <vt:lpstr>審1_製造中</vt:lpstr>
      <vt:lpstr>審1_倉庫小</vt:lpstr>
      <vt:lpstr>審1_倉庫大</vt:lpstr>
      <vt:lpstr>審1_倉庫中</vt:lpstr>
      <vt:lpstr>審2_卸売小</vt:lpstr>
      <vt:lpstr>審2_卸売大</vt:lpstr>
      <vt:lpstr>審2_卸売中</vt:lpstr>
      <vt:lpstr>審2_小売小</vt:lpstr>
      <vt:lpstr>審2_小売大</vt:lpstr>
      <vt:lpstr>審2_小売中</vt:lpstr>
      <vt:lpstr>審2_製造小</vt:lpstr>
      <vt:lpstr>審2_製造大</vt:lpstr>
      <vt:lpstr>審2_製造中</vt:lpstr>
      <vt:lpstr>審2_倉庫小</vt:lpstr>
      <vt:lpstr>審2_倉庫大</vt:lpstr>
      <vt:lpstr>審2_倉庫中</vt:lpstr>
      <vt:lpstr>人の同伴</vt:lpstr>
      <vt:lpstr>製造事業者名</vt:lpstr>
      <vt:lpstr>製品URL</vt:lpstr>
      <vt:lpstr>製品カテゴリ</vt:lpstr>
      <vt:lpstr>製品概要</vt:lpstr>
      <vt:lpstr>製品区分</vt:lpstr>
      <vt:lpstr>製品名称</vt:lpstr>
      <vt:lpstr>積み下ろし方法</vt:lpstr>
      <vt:lpstr>設定費用</vt:lpstr>
      <vt:lpstr>投資_卸売小</vt:lpstr>
      <vt:lpstr>投資_卸売大</vt:lpstr>
      <vt:lpstr>投資_卸売中</vt:lpstr>
      <vt:lpstr>投資_小売小</vt:lpstr>
      <vt:lpstr>投資_小売大</vt:lpstr>
      <vt:lpstr>投資_小売中</vt:lpstr>
      <vt:lpstr>投資_製造小</vt:lpstr>
      <vt:lpstr>投資_製造大</vt:lpstr>
      <vt:lpstr>投資_製造中</vt:lpstr>
      <vt:lpstr>投資_倉庫小</vt:lpstr>
      <vt:lpstr>投資_倉庫大</vt:lpstr>
      <vt:lpstr>投資_倉庫中</vt:lpstr>
      <vt:lpstr>納入先</vt:lpstr>
      <vt:lpstr>平均納品金額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2024-03-13T09:56:24Z</dcterms:created>
  <dcterms:modified xsi:type="dcterms:W3CDTF">2024-04-12T06:19:36Z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0x010100960B8346AF41D840B81C1003945DEC1E</vt:lpwstr>
  </property>
</Properties>
</file>