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E7F20D12-E6CC-460B-9D87-71964A505F82}" xr6:coauthVersionLast="47" xr6:coauthVersionMax="47" xr10:uidLastSave="{00000000-0000-0000-0000-000000000000}"/>
  <workbookProtection workbookAlgorithmName="SHA-512" workbookHashValue="+c6H8L2p+vckTyjrH++Qfy+mmLh+wCmXGw7C56Lc8EHEIjqZRo8BfXO91kd+M7PsebsCHeJkUcRVjp8hPbigkA==" workbookSaltValue="d0HQDnK5Fp0zVtHunjYFlA==" workbookSpinCount="100000" lockStructure="1"/>
  <bookViews>
    <workbookView xWindow="-28908" yWindow="-16308" windowWidth="29016" windowHeight="164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利用が想定される中小企業!$A$1:$E$6</definedName>
    <definedName name="加工機種類">'①製品審査申請書（工業会用）'!$E$26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想定導入機器台数">利用が想定される中小企業!$D$6</definedName>
    <definedName name="日当たり木板加工枚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 name="木板1枚当たりダボ穴加工数">利用が想定される中小企業!$D$5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45" l="1"/>
  <c r="L36" i="43" s="1"/>
  <c r="L35" i="43"/>
  <c r="I35" i="43"/>
  <c r="L34" i="43"/>
  <c r="L20" i="43"/>
  <c r="L19" i="43"/>
  <c r="L18" i="43"/>
  <c r="L17" i="43"/>
  <c r="L16" i="43"/>
  <c r="L32" i="43" l="1"/>
  <c r="L33" i="43"/>
  <c r="R35" i="43" l="1"/>
  <c r="R34" i="43"/>
  <c r="R20" i="43"/>
  <c r="R19" i="43"/>
  <c r="R18" i="43"/>
  <c r="R17" i="43"/>
  <c r="R16" i="43"/>
  <c r="R15" i="43"/>
  <c r="R14" i="43"/>
  <c r="R36" i="43"/>
  <c r="C2" i="21"/>
  <c r="J33" i="43"/>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R32" i="43" l="1"/>
  <c r="R33" i="43"/>
  <c r="AU3" i="32"/>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<sst xmlns="http://schemas.openxmlformats.org/spreadsheetml/2006/main" count="362" uniqueCount="268">
  <si>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</si>
  <si>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</si>
  <si>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</si>
  <si>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</si>
  <si>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</si>
  <si>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</si>
  <si>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</si>
  <si>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</si>
  <si>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</si>
  <si>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</si>
  <si>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</si>
  <si>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</si>
  <si>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</si>
  <si>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</si>
  <si>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</si>
  <si>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</si>
  <si>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</si>
  <si>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</si>
  <si>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</si>
  <si>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</si>
  <si>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</si>
  <si>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</si>
  <si>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</si>
  <si>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</si>
  <si>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</si>
  <si>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</si>
  <si>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</si>
  <si>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</si>
  <si>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</si>
  <si>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</si>
  <si>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</si>
  <si>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</si>
  <si>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</si>
  <si>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</si>
  <si>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</si>
  <si>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</si>
  <si>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</si>
  <si>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</si>
  <si>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</si>
  <si>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</si>
  <si>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</si>
  <si>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</si>
  <si>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</si>
  <si>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</si>
  <si>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</si>
  <si>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</si>
  <si>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</si>
  <si>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</si>
  <si>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</si>
  <si>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</si>
  <si>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</si>
  <si>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</si>
  <si>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</si>
  <si>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</si>
  <si>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</si>
  <si>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</si>
  <si>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</si>
  <si>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</si>
  <si>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</si>
  <si>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</si>
  <si>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</si>
  <si>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</si>
  <si>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</si>
  <si>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</si>
  <si>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</si>
  <si>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</si>
  <si>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</si>
  <si>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</si>
  <si>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</si>
  <si>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</si>
  <si>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</si>
  <si>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</si>
  <si>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</si>
  <si>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</si>
  <si>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</si>
  <si>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</si>
  <si>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</si>
  <si>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</si>
  <si>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</si>
  <si>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</si>
  <si>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</si>
  <si>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</si>
  <si>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</si>
  <si>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</si>
  <si>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</si>
  <si>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</si>
  <si>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</si>
  <si>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</si>
  <si>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</si>
  <si>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</si>
  <si>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</si>
  <si>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</si>
  <si>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</si>
  <si>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</si>
  <si>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</si>
  <si>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</si>
  <si>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</si>
  <si>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</si>
  <si>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</si>
  <si>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</si>
  <si>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</si>
  <si>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</si>
  <si>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</si>
  <si>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</si>
  <si>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</si>
  <si>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</si>
  <si>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</si>
  <si>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</si>
  <si>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</si>
  <si>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</si>
  <si>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</si>
  <si>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</si>
  <si>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</si>
  <si>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</si>
  <si>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</si>
  <si>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</si>
  <si>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</si>
  <si>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</si>
  <si>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</si>
  <si>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</si>
  <si>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</si>
  <si>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</si>
  <si>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</si>
  <si>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</si>
  <si>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</si>
  <si>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</si>
  <si>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</si>
  <si>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</si>
  <si>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</si>
  <si>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</si>
  <si>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</si>
  <si>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</si>
  <si>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</si>
  <si>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</si>
  <si>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</si>
  <si>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</si>
  <si>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</si>
  <si>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</si>
  <si>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</si>
  <si>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</si>
  <si>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</si>
  <si>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</si>
  <si>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</si>
  <si>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</si>
  <si>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</si>
  <si>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</si>
  <si>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</si>
  <si>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</si>
  <si>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</si>
  <si>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</si>
  <si>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</si>
  <si>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</si>
  <si>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</si>
  <si>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</si>
  <si>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</si>
  <si>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</si>
  <si>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</si>
  <si>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</si>
  <si>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</si>
  <si>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</si>
  <si>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</si>
  <si>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</si>
  <si>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</si>
  <si>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</si>
  <si>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</si>
  <si>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</si>
  <si>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</si>
  <si>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</si>
  <si>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</si>
  <si>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</si>
  <si>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</si>
  <si>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</si>
  <si>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</si>
  <si>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</si>
  <si>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</si>
  <si>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</si>
  <si>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</si>
  <si>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</si>
  <si>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</si>
  <si>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</si>
  <si>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</si>
  <si>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</si>
  <si>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</si>
  <si>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</si>
  <si>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</si>
  <si>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</si>
  <si>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</si>
  <si>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</si>
  <si>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</si>
  <si>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</si>
  <si>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</si>
  <si>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</si>
  <si>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</si>
  <si>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</si>
  <si>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</si>
  <si>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</si>
  <si>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</si>
  <si>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</si>
  <si>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</si>
  <si>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</si>
  <si>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</si>
  <si>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</si>
  <si>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</si>
  <si>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</si>
  <si>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</si>
  <si>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</si>
  <si>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</si>
  <si>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</si>
  <si>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</si>
  <si>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</si>
  <si>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</si>
  <si>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</si>
  <si>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</si>
  <si>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</si>
  <si>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</si>
  <si>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</si>
  <si>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</si>
  <si>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</si>
  <si>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</si>
  <si>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</si>
  <si>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</si>
  <si>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</si>
  <si>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</si>
  <si>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</si>
  <si>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</si>
  <si>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</si>
  <si>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自動ダボ穴加工機</t>
    <rPh sb="0" eb="2">
      <t>ジドウ</t>
    </rPh>
    <rPh sb="4" eb="5">
      <t>アナ</t>
    </rPh>
    <rPh sb="5" eb="7">
      <t>カコウ</t>
    </rPh>
    <rPh sb="7" eb="8">
      <t>キ</t>
    </rPh>
    <phoneticPr fontId="1"/>
  </si>
  <si>
    <t>片面加工機</t>
    <rPh sb="0" eb="2">
      <t>カタメン</t>
    </rPh>
    <rPh sb="2" eb="5">
      <t>カコウキ</t>
    </rPh>
    <phoneticPr fontId="1"/>
  </si>
  <si>
    <t>両面加工機</t>
    <rPh sb="0" eb="2">
      <t>リョウメン</t>
    </rPh>
    <rPh sb="2" eb="5">
      <t>カコウキ</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</si>
  <si>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</si>
  <si>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</si>
  <si>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</si>
  <si>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</si>
  <si>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2">
      <t>ニチ</t>
    </rPh>
    <rPh sb="2" eb="3">
      <t>ア</t>
    </rPh>
    <rPh sb="5" eb="9">
      <t>ギョウムジカン</t>
    </rPh>
    <phoneticPr fontId="1"/>
  </si>
  <si>
    <t>時間/日</t>
    <rPh sb="0" eb="2">
      <t>ジカン</t>
    </rPh>
    <rPh sb="3" eb="4">
      <t>ニチ</t>
    </rPh>
    <phoneticPr fontId="1"/>
  </si>
  <si>
    <t>一般的な8時間勤務で設定</t>
    <phoneticPr fontId="1"/>
  </si>
  <si>
    <t>c</t>
    <phoneticPr fontId="1"/>
  </si>
  <si>
    <t>1日当たり木板加工枚数</t>
    <rPh sb="1" eb="2">
      <t>ニチ</t>
    </rPh>
    <rPh sb="2" eb="3">
      <t>アタ</t>
    </rPh>
    <rPh sb="5" eb="6">
      <t>キ</t>
    </rPh>
    <rPh sb="6" eb="7">
      <t>イタ</t>
    </rPh>
    <rPh sb="7" eb="11">
      <t>カコウマイスウ</t>
    </rPh>
    <phoneticPr fontId="1"/>
  </si>
  <si>
    <t>枚/日</t>
    <rPh sb="0" eb="1">
      <t>マイ</t>
    </rPh>
    <rPh sb="2" eb="3">
      <t>ニチ</t>
    </rPh>
    <phoneticPr fontId="1"/>
  </si>
  <si>
    <t>工業会ヒアリング結果より</t>
    <rPh sb="0" eb="3">
      <t>コウギョウカイ</t>
    </rPh>
    <rPh sb="8" eb="10">
      <t>ケッカ</t>
    </rPh>
    <phoneticPr fontId="1"/>
  </si>
  <si>
    <t>d</t>
    <phoneticPr fontId="1"/>
  </si>
  <si>
    <t>木板1枚当たりダボ穴加工数</t>
    <rPh sb="0" eb="1">
      <t>キ</t>
    </rPh>
    <rPh sb="1" eb="2">
      <t>イタ</t>
    </rPh>
    <rPh sb="3" eb="4">
      <t>マイ</t>
    </rPh>
    <rPh sb="4" eb="5">
      <t>ア</t>
    </rPh>
    <rPh sb="9" eb="10">
      <t>アナ</t>
    </rPh>
    <rPh sb="10" eb="13">
      <t>カコウスウ</t>
    </rPh>
    <phoneticPr fontId="1"/>
  </si>
  <si>
    <t>個/枚</t>
    <rPh sb="0" eb="1">
      <t>コ</t>
    </rPh>
    <rPh sb="2" eb="3">
      <t>マイ</t>
    </rPh>
    <phoneticPr fontId="1"/>
  </si>
  <si>
    <t>e</t>
    <phoneticPr fontId="1"/>
  </si>
  <si>
    <t>想定導入機器台数</t>
    <rPh sb="0" eb="2">
      <t>ソウテイ</t>
    </rPh>
    <rPh sb="2" eb="4">
      <t>ドウニュウ</t>
    </rPh>
    <phoneticPr fontId="1"/>
  </si>
  <si>
    <t>台</t>
  </si>
  <si>
    <t>導入前での1日の作業を勤務時間8時間で処理するために必要な台数として算定</t>
    <phoneticPr fontId="1"/>
  </si>
  <si>
    <t>治具作成</t>
    <rPh sb="0" eb="4">
      <t>ジグサクセイ</t>
    </rPh>
    <phoneticPr fontId="1"/>
  </si>
  <si>
    <t>治具段取り</t>
    <rPh sb="0" eb="2">
      <t>ジグ</t>
    </rPh>
    <rPh sb="2" eb="4">
      <t>ダンド</t>
    </rPh>
    <phoneticPr fontId="1"/>
  </si>
  <si>
    <t>材料段取り</t>
    <rPh sb="0" eb="2">
      <t>ザイリョウ</t>
    </rPh>
    <rPh sb="2" eb="4">
      <t>ダンド</t>
    </rPh>
    <phoneticPr fontId="1"/>
  </si>
  <si>
    <t>穴空け加工</t>
    <rPh sb="0" eb="1">
      <t>アナ</t>
    </rPh>
    <rPh sb="1" eb="2">
      <t>ア</t>
    </rPh>
    <rPh sb="3" eb="5">
      <t>カコウ</t>
    </rPh>
    <phoneticPr fontId="1"/>
  </si>
  <si>
    <t>接着剤塗布</t>
    <rPh sb="0" eb="3">
      <t>セッチャクザイ</t>
    </rPh>
    <rPh sb="3" eb="5">
      <t>トフ</t>
    </rPh>
    <phoneticPr fontId="1"/>
  </si>
  <si>
    <t>ダボ挿入</t>
    <rPh sb="2" eb="4">
      <t>ソウニュウ</t>
    </rPh>
    <phoneticPr fontId="1"/>
  </si>
  <si>
    <t>加工部後処理</t>
    <rPh sb="0" eb="3">
      <t>カコウブ</t>
    </rPh>
    <rPh sb="3" eb="6">
      <t>アトショリ</t>
    </rPh>
    <phoneticPr fontId="1"/>
  </si>
  <si>
    <t>プログラム作成</t>
    <rPh sb="5" eb="7">
      <t>サクセイ</t>
    </rPh>
    <phoneticPr fontId="1"/>
  </si>
  <si>
    <t>機器設定</t>
    <rPh sb="0" eb="4">
      <t>キキセッテイ</t>
    </rPh>
    <phoneticPr fontId="1"/>
  </si>
  <si>
    <t>材料段取り</t>
    <rPh sb="0" eb="4">
      <t>ザイリョウダンド</t>
    </rPh>
    <phoneticPr fontId="1"/>
  </si>
  <si>
    <t>ひっくり返し位置合わせ</t>
    <rPh sb="4" eb="5">
      <t>カエ</t>
    </rPh>
    <rPh sb="6" eb="9">
      <t>イチア</t>
    </rPh>
    <phoneticPr fontId="1"/>
  </si>
  <si>
    <t>機器後処理</t>
    <rPh sb="0" eb="2">
      <t>キキ</t>
    </rPh>
    <rPh sb="2" eb="5">
      <t>アトショリ</t>
    </rPh>
    <phoneticPr fontId="1"/>
  </si>
  <si>
    <t>加工機種類</t>
    <rPh sb="0" eb="5">
      <t>カコウキシュルイ</t>
    </rPh>
    <phoneticPr fontId="1"/>
  </si>
  <si>
    <t>日本木工機械工業会</t>
    <rPh sb="0" eb="2">
      <t>ニホン</t>
    </rPh>
    <rPh sb="2" eb="4">
      <t>モッコウ</t>
    </rPh>
    <rPh sb="4" eb="6">
      <t>キカイ</t>
    </rPh>
    <rPh sb="6" eb="9">
      <t>コウギョウカイ</t>
    </rPh>
    <phoneticPr fontId="1"/>
  </si>
  <si>
    <t>令和3年経済センサスより</t>
    <phoneticPr fontId="1"/>
  </si>
  <si>
    <t>[分/回]</t>
    <rPh sb="1" eb="2">
      <t>フン</t>
    </rPh>
    <rPh sb="3" eb="4">
      <t>カイ</t>
    </rPh>
    <phoneticPr fontId="1"/>
  </si>
  <si>
    <t>[枚/日]</t>
  </si>
  <si>
    <t>[枚/日]</t>
    <rPh sb="1" eb="2">
      <t>マイ</t>
    </rPh>
    <rPh sb="3" eb="4">
      <t>ヒ</t>
    </rPh>
    <phoneticPr fontId="1"/>
  </si>
  <si>
    <t>[個/日]</t>
    <rPh sb="1" eb="2">
      <t>コ</t>
    </rPh>
    <rPh sb="3" eb="4">
      <t>ヒ</t>
    </rPh>
    <phoneticPr fontId="1"/>
  </si>
  <si>
    <t>[台/日]</t>
    <rPh sb="1" eb="2">
      <t>ダイ</t>
    </rPh>
    <rPh sb="3" eb="4">
      <t>ヒ</t>
    </rPh>
    <phoneticPr fontId="1"/>
  </si>
  <si>
    <t>工業会ヒアリング結果より、代表的な加工例として縦横600mmサイズ部材を設定し、
片側6個のダボ穴を空ける条件で設定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</si>
</sst>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x14ac:knownFonts="1">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3" fillId="0" borderId="66" xfId="0" applyFont="1" applyBorder="1">
      <alignmen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74" xfId="0" applyFont="1" applyBorder="1">
      <alignment vertical="center"/>
    </xf>
    <xf numFmtId="179" fontId="44" fillId="6" borderId="15" xfId="0" applyNumberFormat="1" applyFont="1" applyFill="1" applyBorder="1">
      <alignment vertical="center"/>
    </xf>
    <xf numFmtId="0" fontId="44" fillId="0" borderId="15" xfId="0" applyFont="1" applyBorder="1" applyAlignment="1">
      <alignment vertical="center" wrapText="1"/>
    </xf>
    <xf numFmtId="0" fontId="44" fillId="0" borderId="72" xfId="0" applyFont="1" applyBorder="1">
      <alignment vertical="center"/>
    </xf>
    <xf numFmtId="0" fontId="44" fillId="0" borderId="16" xfId="0" applyFont="1" applyBorder="1">
      <alignment vertical="center"/>
    </xf>
    <xf numFmtId="0" fontId="45" fillId="0" borderId="0" xfId="0" applyFont="1">
      <alignment vertical="center"/>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0" fontId="44" fillId="0" borderId="15" xfId="0" applyFont="1" applyBorder="1">
      <alignment vertical="center"/>
    </xf>
    <xf numFmtId="0" fontId="44" fillId="6" borderId="73" xfId="0" applyFont="1" applyFill="1" applyBorder="1">
      <alignment vertical="center"/>
    </xf>
    <xf numFmtId="179" fontId="44" fillId="0" borderId="16" xfId="0" applyNumberFormat="1" applyFont="1" applyFill="1" applyBorder="1">
      <alignment vertical="center"/>
    </xf>
    <xf numFmtId="0" fontId="45" fillId="0" borderId="16" xfId="0" applyFont="1" applyBorder="1" applyAlignment="1">
      <alignment vertical="center" wrapText="1"/>
    </xf>
    <xf numFmtId="0" fontId="42" fillId="6" borderId="75" xfId="0" applyFont="1" applyFill="1" applyBorder="1">
      <alignment vertical="center"/>
    </xf>
    <xf numFmtId="0" fontId="43" fillId="6" borderId="75" xfId="0" applyFont="1" applyFill="1" applyBorder="1">
      <alignment vertical="center"/>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x14ac:dyDescent="0.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x14ac:dyDescent="0.2">
      <c r="A1" t="str">
        <f>IF(審査結果サマリ!E4&lt;&gt;"","工業会審査管理番号：　" &amp;審査結果サマリ!C2,"")</f>
        <v/>
      </c>
      <c r="J1" s="86" t="s">
        <v>217</v>
      </c>
    </row>
    <row r="3" spans="1:11" ht="23.4" x14ac:dyDescent="0.2">
      <c r="A3" s="222" t="s">
        <v>30</v>
      </c>
      <c r="B3" s="222"/>
      <c r="C3" s="222"/>
      <c r="D3" s="222"/>
      <c r="E3" s="222"/>
      <c r="F3" s="222"/>
      <c r="G3" s="222"/>
      <c r="H3" s="222"/>
      <c r="I3" s="222"/>
      <c r="J3" s="222"/>
      <c r="K3" s="222"/>
    </row>
    <row r="4" spans="1:11" ht="13.8" thickBot="1" x14ac:dyDescent="0.25"/>
    <row r="5" spans="1:11" ht="20.25" customHeight="1" thickBot="1" x14ac:dyDescent="0.25">
      <c r="B5" s="4" t="s">
        <v>0</v>
      </c>
      <c r="C5" s="223"/>
      <c r="D5" s="224"/>
      <c r="E5" s="224"/>
      <c r="F5" s="224"/>
      <c r="G5" s="224"/>
      <c r="H5" s="224"/>
      <c r="I5" s="225"/>
    </row>
    <row r="6" spans="1:11" ht="20.25" customHeight="1" thickBot="1" x14ac:dyDescent="0.25">
      <c r="B6" s="4" t="s">
        <v>1</v>
      </c>
      <c r="C6" s="223"/>
      <c r="D6" s="224"/>
      <c r="E6" s="224"/>
      <c r="F6" s="224"/>
      <c r="G6" s="224"/>
      <c r="H6" s="224"/>
      <c r="I6" s="225"/>
    </row>
    <row r="8" spans="1:11" ht="39.75" customHeight="1" x14ac:dyDescent="0.2">
      <c r="B8" s="226" t="s">
        <v>205</v>
      </c>
      <c r="C8" s="226"/>
      <c r="D8" s="226"/>
      <c r="E8" s="226"/>
      <c r="F8" s="226"/>
      <c r="G8" s="226"/>
      <c r="H8" s="226"/>
      <c r="I8" s="226"/>
      <c r="J8" s="226"/>
    </row>
    <row r="10" spans="1:11" ht="16.2" x14ac:dyDescent="0.2">
      <c r="B10" s="9"/>
      <c r="C10" s="17" t="s">
        <v>2</v>
      </c>
      <c r="D10" s="17"/>
      <c r="E10" s="10"/>
      <c r="F10" s="10"/>
      <c r="G10" s="10"/>
      <c r="H10" s="10"/>
      <c r="I10" s="10"/>
      <c r="J10" s="11"/>
    </row>
    <row r="11" spans="1:11" x14ac:dyDescent="0.2">
      <c r="B11" s="12"/>
      <c r="J11" s="13"/>
    </row>
    <row r="12" spans="1:11" x14ac:dyDescent="0.2">
      <c r="B12" s="12"/>
      <c r="C12" s="39" t="s">
        <v>3</v>
      </c>
      <c r="D12" s="38"/>
      <c r="E12" s="227" t="s">
        <v>226</v>
      </c>
      <c r="F12" s="228"/>
      <c r="G12" s="228"/>
      <c r="H12" s="228"/>
      <c r="I12" s="229"/>
      <c r="J12" s="13"/>
    </row>
    <row r="13" spans="1:11" x14ac:dyDescent="0.2">
      <c r="B13" s="12"/>
      <c r="C13" s="10"/>
      <c r="D13" s="10"/>
      <c r="E13" s="186"/>
      <c r="F13" s="186"/>
      <c r="G13" s="186"/>
      <c r="H13" s="186"/>
      <c r="I13" s="186"/>
      <c r="J13" s="13"/>
    </row>
    <row r="14" spans="1:11" x14ac:dyDescent="0.2">
      <c r="B14" s="14"/>
      <c r="C14" s="1"/>
      <c r="D14" s="1"/>
      <c r="E14" s="1"/>
      <c r="F14" s="1"/>
      <c r="G14" s="1"/>
      <c r="H14" s="3"/>
      <c r="I14" s="3"/>
      <c r="J14" s="15"/>
    </row>
    <row r="15" spans="1:11" hidden="1" x14ac:dyDescent="0.2"/>
    <row r="16" spans="1:11" ht="16.2" hidden="1" x14ac:dyDescent="0.2">
      <c r="B16" s="9"/>
      <c r="C16" s="17" t="s">
        <v>189</v>
      </c>
      <c r="D16" s="17"/>
      <c r="E16" s="10"/>
      <c r="F16" s="10"/>
      <c r="G16" s="10"/>
      <c r="H16" s="10"/>
      <c r="I16" s="10"/>
      <c r="J16" s="11"/>
    </row>
    <row r="17" spans="1:17" ht="13.8" hidden="1" thickBot="1" x14ac:dyDescent="0.25">
      <c r="B17" s="12"/>
      <c r="J17" s="13"/>
      <c r="L17"/>
    </row>
    <row r="18" spans="1:17" ht="13.8" hidden="1" thickBot="1" x14ac:dyDescent="0.25">
      <c r="B18" s="12"/>
      <c r="C18" s="230"/>
      <c r="D18" s="231"/>
      <c r="E18" s="231"/>
      <c r="F18" s="231"/>
      <c r="G18" s="231"/>
      <c r="H18" s="232"/>
      <c r="I18" s="150"/>
      <c r="J18" s="13"/>
      <c r="L18" t="str">
        <f>IF(C18&lt;&gt;"",C18,"")</f>
        <v/>
      </c>
      <c r="M18" s="151" t="str">
        <f>IF(AND(C18&lt;&gt;"",I18&lt;&gt;""),I18,"")</f>
        <v/>
      </c>
      <c r="Q18" s="40" t="str">
        <f>IF(L18&lt;&gt;"",IF(M18&lt;&gt;"","OK","「あり」または「なし」を選択してください"),"")</f>
        <v/>
      </c>
    </row>
    <row r="19" spans="1:17" ht="13.95" hidden="1" customHeight="1" thickBot="1" x14ac:dyDescent="0.25">
      <c r="B19" s="12"/>
      <c r="C19" s="233"/>
      <c r="D19" s="234"/>
      <c r="E19" s="234"/>
      <c r="F19" s="234"/>
      <c r="G19" s="234"/>
      <c r="H19" s="235"/>
      <c r="I19" s="150"/>
      <c r="J19" s="13"/>
      <c r="L19" t="str">
        <f>IF(C19&lt;&gt;"",C19,"")</f>
        <v/>
      </c>
      <c r="M19" s="151" t="str">
        <f>IF(AND(C19&lt;&gt;"",I19&lt;&gt;""),I19,"")</f>
        <v/>
      </c>
      <c r="Q19" s="40" t="str">
        <f>IF(L19&lt;&gt;"",IF(M19&lt;&gt;"","OK","「あり」または「なし」を選択してください"),"")</f>
        <v/>
      </c>
    </row>
    <row r="20" spans="1:17" ht="13.8" hidden="1" thickBot="1" x14ac:dyDescent="0.25">
      <c r="B20" s="12"/>
      <c r="C20" s="230"/>
      <c r="D20" s="231"/>
      <c r="E20" s="231"/>
      <c r="F20" s="231"/>
      <c r="G20" s="231"/>
      <c r="H20" s="232"/>
      <c r="I20" s="150"/>
      <c r="J20" s="13"/>
      <c r="L20" t="str">
        <f>IF(C20&lt;&gt;"",C20,"")</f>
        <v/>
      </c>
      <c r="M20" s="151" t="str">
        <f>IF(AND(C20&lt;&gt;"",I20&lt;&gt;""),I20,"")</f>
        <v/>
      </c>
      <c r="Q20" s="40" t="str">
        <f>IF(L20&lt;&gt;"",IF(M20&lt;&gt;"","OK","「あり」または「なし」を選択してください"),"")</f>
        <v/>
      </c>
    </row>
    <row r="21" spans="1:17" hidden="1" x14ac:dyDescent="0.2">
      <c r="B21" s="12"/>
      <c r="E21" s="152"/>
      <c r="F21" s="152"/>
      <c r="G21" s="152"/>
      <c r="H21" s="152"/>
      <c r="I21" s="8"/>
      <c r="J21" s="13"/>
    </row>
    <row r="22" spans="1:17" hidden="1" x14ac:dyDescent="0.2">
      <c r="B22" s="14"/>
      <c r="C22" s="1"/>
      <c r="D22" s="1"/>
      <c r="E22" s="1"/>
      <c r="F22" s="1"/>
      <c r="G22" s="1"/>
      <c r="H22" s="1"/>
      <c r="I22" s="1"/>
      <c r="J22" s="15"/>
    </row>
    <row r="24" spans="1:17" ht="16.2" x14ac:dyDescent="0.2">
      <c r="B24" s="9"/>
      <c r="C24" s="17" t="s">
        <v>5</v>
      </c>
      <c r="D24" s="17"/>
      <c r="E24" s="10"/>
      <c r="F24" s="10"/>
      <c r="G24" s="10"/>
      <c r="H24" s="10"/>
      <c r="I24" s="10"/>
      <c r="J24" s="11"/>
      <c r="L24"/>
      <c r="M24"/>
      <c r="N24"/>
      <c r="O24"/>
      <c r="P24"/>
    </row>
    <row r="25" spans="1:17" ht="13.8" thickBot="1" x14ac:dyDescent="0.25">
      <c r="B25" s="12"/>
      <c r="J25" s="13"/>
      <c r="L25"/>
      <c r="M25" t="s">
        <v>196</v>
      </c>
      <c r="N25" t="s">
        <v>197</v>
      </c>
      <c r="O25" t="s">
        <v>198</v>
      </c>
      <c r="P25" t="s">
        <v>199</v>
      </c>
    </row>
    <row r="26" spans="1:17" ht="13.8" thickBot="1" x14ac:dyDescent="0.25">
      <c r="B26" s="12"/>
      <c r="C26" s="236" t="s">
        <v>259</v>
      </c>
      <c r="D26" s="237"/>
      <c r="E26" s="238"/>
      <c r="F26" s="239"/>
      <c r="G26" s="239"/>
      <c r="H26" s="240"/>
      <c r="I26" s="21" t="s">
        <v>14</v>
      </c>
      <c r="J26" s="13"/>
      <c r="L26" t="str">
        <f>C26&amp;"：　【　"&amp;加工機種類&amp;"　】　"&amp;I26</f>
        <v>加工機種類：　【　　】　[-]</v>
      </c>
      <c r="M26" t="s">
        <v>227</v>
      </c>
      <c r="N26" t="s">
        <v>228</v>
      </c>
      <c r="O26"/>
      <c r="P26"/>
    </row>
    <row r="27" spans="1:17" x14ac:dyDescent="0.2">
      <c r="B27" s="12"/>
      <c r="C27" s="8"/>
      <c r="D27" s="176"/>
      <c r="E27" s="175"/>
      <c r="F27" s="175"/>
      <c r="G27" s="175"/>
      <c r="H27" s="175"/>
      <c r="I27" s="8"/>
      <c r="J27" s="13"/>
      <c r="L27"/>
      <c r="O27"/>
      <c r="P27"/>
    </row>
    <row r="28" spans="1:17" x14ac:dyDescent="0.2">
      <c r="B28" s="14"/>
      <c r="C28" s="1"/>
      <c r="D28" s="1"/>
      <c r="E28" s="1"/>
      <c r="F28" s="1"/>
      <c r="G28" s="1"/>
      <c r="H28" s="1"/>
      <c r="I28" s="1"/>
      <c r="J28" s="15"/>
      <c r="L28"/>
      <c r="M28"/>
      <c r="N28"/>
      <c r="O28"/>
      <c r="P28"/>
    </row>
    <row r="29" spans="1:17" s="23" customFormat="1" x14ac:dyDescent="0.2">
      <c r="A29"/>
      <c r="B29"/>
      <c r="C29"/>
      <c r="D29"/>
      <c r="E29"/>
      <c r="F29"/>
      <c r="G29"/>
      <c r="H29" s="2"/>
      <c r="I29" s="2"/>
      <c r="J29"/>
      <c r="K29"/>
      <c r="Q29"/>
    </row>
    <row r="30" spans="1:17" s="23" customFormat="1" ht="16.2" x14ac:dyDescent="0.2">
      <c r="B30" s="37"/>
      <c r="C30" s="36" t="s">
        <v>7</v>
      </c>
      <c r="D30" s="36"/>
      <c r="E30" s="35"/>
      <c r="F30" s="35"/>
      <c r="G30" s="35"/>
      <c r="H30" s="34"/>
      <c r="I30" s="34"/>
      <c r="J30" s="33"/>
    </row>
    <row r="31" spans="1:17" s="23" customFormat="1" ht="13.8" thickBot="1" x14ac:dyDescent="0.25">
      <c r="B31" s="32"/>
      <c r="H31" s="30"/>
      <c r="I31" s="30"/>
      <c r="J31" s="29"/>
    </row>
    <row r="32" spans="1:17" s="23" customFormat="1" ht="13.8" thickBot="1" x14ac:dyDescent="0.25">
      <c r="B32" s="32"/>
      <c r="C32" s="211" t="s">
        <v>29</v>
      </c>
      <c r="D32" s="212"/>
      <c r="E32" s="213" t="s">
        <v>8</v>
      </c>
      <c r="F32" s="214"/>
      <c r="G32" s="214"/>
      <c r="H32" s="214"/>
      <c r="I32" s="215"/>
      <c r="J32" s="29"/>
    </row>
    <row r="33" spans="2:10" s="23" customFormat="1" ht="13.8" thickBot="1" x14ac:dyDescent="0.25">
      <c r="B33" s="32"/>
      <c r="C33" s="211" t="s">
        <v>28</v>
      </c>
      <c r="D33" s="212"/>
      <c r="E33" s="213" t="s">
        <v>8</v>
      </c>
      <c r="F33" s="214"/>
      <c r="G33" s="214"/>
      <c r="H33" s="214"/>
      <c r="I33" s="215"/>
      <c r="J33" s="29"/>
    </row>
    <row r="34" spans="2:10" s="23" customFormat="1" ht="13.8" thickBot="1" x14ac:dyDescent="0.25">
      <c r="B34" s="32"/>
      <c r="C34" s="211" t="s">
        <v>27</v>
      </c>
      <c r="D34" s="212"/>
      <c r="E34" s="213" t="s">
        <v>8</v>
      </c>
      <c r="F34" s="214"/>
      <c r="G34" s="214"/>
      <c r="H34" s="214"/>
      <c r="I34" s="215"/>
      <c r="J34" s="29"/>
    </row>
    <row r="35" spans="2:10" s="23" customFormat="1" ht="13.8" thickBot="1" x14ac:dyDescent="0.25">
      <c r="B35" s="32"/>
      <c r="C35" s="211" t="s">
        <v>26</v>
      </c>
      <c r="D35" s="212"/>
      <c r="E35" s="213" t="s">
        <v>8</v>
      </c>
      <c r="F35" s="214"/>
      <c r="G35" s="214"/>
      <c r="H35" s="214"/>
      <c r="I35" s="215"/>
      <c r="J35" s="29"/>
    </row>
    <row r="36" spans="2:10" s="23" customFormat="1" ht="13.8" thickBot="1" x14ac:dyDescent="0.25">
      <c r="B36" s="32"/>
      <c r="C36" s="211" t="s">
        <v>25</v>
      </c>
      <c r="D36" s="212"/>
      <c r="E36" s="213" t="s">
        <v>8</v>
      </c>
      <c r="F36" s="214"/>
      <c r="G36" s="214"/>
      <c r="H36" s="214"/>
      <c r="I36" s="215"/>
      <c r="J36" s="29"/>
    </row>
    <row r="37" spans="2:10" s="23" customFormat="1" x14ac:dyDescent="0.2">
      <c r="B37" s="32"/>
      <c r="C37" s="23" t="s">
        <v>24</v>
      </c>
      <c r="H37" s="31"/>
      <c r="I37" s="30"/>
      <c r="J37" s="29"/>
    </row>
    <row r="38" spans="2:10" s="23" customFormat="1" x14ac:dyDescent="0.2">
      <c r="B38" s="28"/>
      <c r="C38" s="27"/>
      <c r="D38" s="27"/>
      <c r="E38" s="27"/>
      <c r="F38" s="27"/>
      <c r="G38" s="27"/>
      <c r="H38" s="26"/>
      <c r="I38" s="25"/>
      <c r="J38" s="24"/>
    </row>
    <row r="39" spans="2:10" s="23" customFormat="1" x14ac:dyDescent="0.2"/>
    <row r="40" spans="2:10" s="23" customFormat="1" x14ac:dyDescent="0.2">
      <c r="C40" s="216" t="s">
        <v>23</v>
      </c>
      <c r="D40" s="217"/>
      <c r="E40" s="216"/>
      <c r="F40" s="218"/>
      <c r="G40" s="218"/>
      <c r="H40" s="218"/>
      <c r="I40" s="217"/>
    </row>
    <row r="41" spans="2:10" s="23" customFormat="1" x14ac:dyDescent="0.2">
      <c r="C41" s="210"/>
      <c r="D41" s="210"/>
      <c r="E41" s="210"/>
      <c r="F41" s="210"/>
      <c r="G41" s="210"/>
      <c r="H41" s="210"/>
      <c r="I41" s="210"/>
    </row>
    <row r="42" spans="2:10" s="23" customFormat="1" x14ac:dyDescent="0.2">
      <c r="C42" s="219" t="s">
        <v>22</v>
      </c>
      <c r="D42" s="220"/>
      <c r="E42" s="219"/>
      <c r="F42" s="221"/>
      <c r="G42" s="221"/>
      <c r="H42" s="221"/>
      <c r="I42" s="220"/>
    </row>
    <row r="43" spans="2:10" s="23" customFormat="1" x14ac:dyDescent="0.2">
      <c r="C43" s="219" t="s">
        <v>21</v>
      </c>
      <c r="D43" s="220"/>
      <c r="E43" s="219"/>
      <c r="F43" s="221"/>
      <c r="G43" s="221"/>
      <c r="H43" s="221"/>
      <c r="I43" s="220"/>
    </row>
    <row r="44" spans="2:10" s="23" customFormat="1" x14ac:dyDescent="0.2">
      <c r="C44" s="219" t="s">
        <v>20</v>
      </c>
      <c r="D44" s="220"/>
      <c r="E44" s="219"/>
      <c r="F44" s="221"/>
      <c r="G44" s="221"/>
      <c r="H44" s="221"/>
      <c r="I44" s="220"/>
    </row>
    <row r="45" spans="2:10" s="23" customFormat="1" x14ac:dyDescent="0.2">
      <c r="C45" s="219" t="s">
        <v>19</v>
      </c>
      <c r="D45" s="220"/>
      <c r="E45" s="219"/>
      <c r="F45" s="221"/>
      <c r="G45" s="221"/>
      <c r="H45" s="221"/>
      <c r="I45" s="220"/>
    </row>
    <row r="46" spans="2:10" s="23" customFormat="1" x14ac:dyDescent="0.2">
      <c r="C46" s="219" t="s">
        <v>18</v>
      </c>
      <c r="D46" s="220"/>
      <c r="E46" s="219"/>
      <c r="F46" s="221"/>
      <c r="G46" s="221"/>
      <c r="H46" s="221"/>
      <c r="I46" s="220"/>
    </row>
    <row r="47" spans="2:10" s="23" customFormat="1" x14ac:dyDescent="0.2"/>
  </sheetData>
  <sheetProtection algorithmName="SHA-512" hashValue="h5jbDOn/B6l327ws9qMKtgyzDLXfqp0Aeyu4mY/r4bUUDfwh9TGa8GF3zccdnt5y5x9DRgBsIrRxVqvOKs8W+g==" saltValue="h+YpBgooHU2cb94DWe9Gpg==" spinCount="100000" sheet="1" objects="1" scenarios="1" formatCells="0" formatRows="0" insertRows="0" deleteRows="0"/>
  <mergeCells count="34">
    <mergeCell ref="C18:H18"/>
    <mergeCell ref="C19:H19"/>
    <mergeCell ref="C20:H20"/>
    <mergeCell ref="C26:D26"/>
    <mergeCell ref="E26:H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889B-ED56-4B23-9420-1256F7895898}">
  <sheetPr>
    <tabColor theme="0"/>
    <pageSetUpPr fitToPage="1"/>
  </sheetPr>
  <dimension ref="A1:E6"/>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x14ac:dyDescent="0.2"/>
  <cols>
    <col min="1" max="1" width="2.77734375" style="166" bestFit="1" customWidth="1"/>
    <col min="2" max="2" width="33.88671875" style="166" customWidth="1"/>
    <col min="3" max="4" width="15.33203125" style="166" customWidth="1"/>
    <col min="5" max="5" width="76.77734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56.4" customHeight="1" x14ac:dyDescent="0.2">
      <c r="A1" s="487" t="s">
        <v>201</v>
      </c>
      <c r="B1" s="487"/>
      <c r="C1" s="170" t="s">
        <v>117</v>
      </c>
      <c r="D1" s="170" t="s">
        <v>202</v>
      </c>
      <c r="E1" s="170" t="s">
        <v>203</v>
      </c>
    </row>
    <row r="2" spans="1:5" ht="56.4" customHeight="1" x14ac:dyDescent="0.2">
      <c r="A2" s="208" t="s">
        <v>229</v>
      </c>
      <c r="B2" s="190" t="s">
        <v>230</v>
      </c>
      <c r="C2" s="191" t="s">
        <v>231</v>
      </c>
      <c r="D2" s="188">
        <v>12.333799737647574</v>
      </c>
      <c r="E2" s="187" t="s">
        <v>261</v>
      </c>
    </row>
    <row r="3" spans="1:5" ht="56.4" customHeight="1" x14ac:dyDescent="0.2">
      <c r="A3" s="208" t="s">
        <v>232</v>
      </c>
      <c r="B3" s="190" t="s">
        <v>233</v>
      </c>
      <c r="C3" s="191" t="s">
        <v>234</v>
      </c>
      <c r="D3" s="188">
        <v>8</v>
      </c>
      <c r="E3" s="192" t="s">
        <v>235</v>
      </c>
    </row>
    <row r="4" spans="1:5" ht="56.4" customHeight="1" x14ac:dyDescent="0.2">
      <c r="A4" s="209" t="s">
        <v>236</v>
      </c>
      <c r="B4" s="193" t="s">
        <v>237</v>
      </c>
      <c r="C4" s="189" t="s">
        <v>238</v>
      </c>
      <c r="D4" s="194">
        <v>50</v>
      </c>
      <c r="E4" s="195" t="s">
        <v>239</v>
      </c>
    </row>
    <row r="5" spans="1:5" ht="56.4" customHeight="1" x14ac:dyDescent="0.2">
      <c r="A5" s="209" t="s">
        <v>240</v>
      </c>
      <c r="B5" s="190" t="s">
        <v>241</v>
      </c>
      <c r="C5" s="204" t="s">
        <v>242</v>
      </c>
      <c r="D5" s="188">
        <v>12</v>
      </c>
      <c r="E5" s="195" t="s">
        <v>267</v>
      </c>
    </row>
    <row r="6" spans="1:5" s="198" customFormat="1" ht="56.4" customHeight="1" x14ac:dyDescent="0.2">
      <c r="A6" s="205" t="s">
        <v>243</v>
      </c>
      <c r="B6" s="196" t="s">
        <v>244</v>
      </c>
      <c r="C6" s="197" t="s">
        <v>245</v>
      </c>
      <c r="D6" s="206">
        <f>ROUNDUP((5+4+(1+(0.1+0.1+0.1)*IF(加工機種類="両面加工機",D5/2,D5)+IF(加工機種類="片面加工機",0.3,0)+2)*D4)/60/D3,0)</f>
        <v>1</v>
      </c>
      <c r="E6" s="207" t="s">
        <v>246</v>
      </c>
    </row>
  </sheetData>
  <sheetProtection algorithmName="SHA-512" hashValue="lCz00yyhytu/JsFCh7ErxZUC4+37GHV1MEw6bxEHzlE0S8PTfX9jsLh8EmTHPA79ue+xa7xskzYNYJk7wd3Bjg==" saltValue="1Goj0WZOrnIXoPd0W9lZmQ=="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x14ac:dyDescent="0.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x14ac:dyDescent="0.2">
      <c r="A1" s="264" t="s">
        <v>34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x14ac:dyDescent="0.2">
      <c r="A3" s="254" t="str">
        <f>"【"&amp;製品カテゴリ&amp;"】"</f>
        <v>【自動ダボ穴加工機】</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1">
        <f>IF(製造事業者番号&lt;&gt;"",14,13)</f>
        <v>13</v>
      </c>
      <c r="AV3" s="48">
        <f>COUNTIF(AV8:AV10,"OK")+COUNTIF(AV14:AV67,"OK")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x14ac:dyDescent="0.2">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x14ac:dyDescent="0.25">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x14ac:dyDescent="0.2">
      <c r="A8" s="42"/>
      <c r="B8" s="304" t="s">
        <v>54</v>
      </c>
      <c r="C8" s="305"/>
      <c r="D8" s="305"/>
      <c r="E8" s="305"/>
      <c r="F8" s="305"/>
      <c r="G8" s="305"/>
      <c r="H8" s="305"/>
      <c r="I8" s="305"/>
      <c r="J8" s="385"/>
      <c r="K8" s="386"/>
      <c r="L8" s="386"/>
      <c r="M8" s="386"/>
      <c r="N8" s="386"/>
      <c r="O8" s="386"/>
      <c r="P8" s="386"/>
      <c r="Q8" s="386"/>
      <c r="R8" s="386"/>
      <c r="S8" s="386"/>
      <c r="T8" s="386"/>
      <c r="U8" s="387"/>
      <c r="V8" s="304" t="s">
        <v>122</v>
      </c>
      <c r="W8" s="305"/>
      <c r="X8" s="305"/>
      <c r="Y8" s="305"/>
      <c r="Z8" s="305"/>
      <c r="AA8" s="305"/>
      <c r="AB8" s="305"/>
      <c r="AC8" s="305"/>
      <c r="AD8" s="385"/>
      <c r="AE8" s="386"/>
      <c r="AF8" s="386"/>
      <c r="AG8" s="386"/>
      <c r="AH8" s="386"/>
      <c r="AI8" s="386"/>
      <c r="AJ8" s="386"/>
      <c r="AK8" s="386"/>
      <c r="AL8" s="386"/>
      <c r="AM8" s="386"/>
      <c r="AN8" s="386"/>
      <c r="AO8" s="387"/>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x14ac:dyDescent="0.25">
      <c r="A9" s="42"/>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2"/>
      <c r="AQ9" s="62"/>
      <c r="AR9" s="62"/>
      <c r="AS9" s="62"/>
      <c r="AT9" s="42"/>
      <c r="AU9" s="43"/>
      <c r="AV9" s="44" t="str">
        <f>IF(AD8&lt;&gt;"","OK","必須：事業者区分")</f>
        <v>必須：事業者区分</v>
      </c>
    </row>
    <row r="10" spans="1:48" x14ac:dyDescent="0.2">
      <c r="A10" s="42"/>
      <c r="B10" s="282" t="s">
        <v>139</v>
      </c>
      <c r="C10" s="305"/>
      <c r="D10" s="305"/>
      <c r="E10" s="305"/>
      <c r="F10" s="305"/>
      <c r="G10" s="305"/>
      <c r="H10" s="305"/>
      <c r="I10" s="305"/>
      <c r="J10" s="391" t="s">
        <v>123</v>
      </c>
      <c r="K10" s="392"/>
      <c r="L10" s="395"/>
      <c r="M10" s="396"/>
      <c r="N10" s="396"/>
      <c r="O10" s="396"/>
      <c r="P10" s="396"/>
      <c r="Q10" s="396"/>
      <c r="R10" s="396"/>
      <c r="S10" s="396"/>
      <c r="T10" s="396"/>
      <c r="U10" s="397"/>
      <c r="V10" s="401" t="s">
        <v>140</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2"/>
      <c r="AV10" s="47" t="str">
        <f>IF(L10&lt;&gt;"",IF(LEN(ASC(L10))=8,"OK","半角数字8桁で入力してください"),"登録済の場合必須：製造事業者番号")</f>
        <v>登録済の場合必須：製造事業者番号</v>
      </c>
    </row>
    <row r="11" spans="1:48" ht="27" customHeight="1" thickBot="1" x14ac:dyDescent="0.25">
      <c r="A11" s="42"/>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2"/>
    </row>
    <row r="12" spans="1:48" x14ac:dyDescent="0.2">
      <c r="A12" s="42"/>
      <c r="B12" s="304" t="s">
        <v>47</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42"/>
      <c r="AV12" s="44"/>
    </row>
    <row r="13" spans="1:48" ht="12.6" thickBot="1" x14ac:dyDescent="0.25">
      <c r="A13" s="42"/>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42"/>
    </row>
    <row r="14" spans="1:48" x14ac:dyDescent="0.2">
      <c r="A14" s="42"/>
      <c r="B14" s="304" t="s">
        <v>46</v>
      </c>
      <c r="C14" s="305"/>
      <c r="D14" s="305"/>
      <c r="E14" s="305"/>
      <c r="F14" s="305"/>
      <c r="G14" s="305"/>
      <c r="H14" s="305"/>
      <c r="I14" s="305"/>
      <c r="J14" s="342"/>
      <c r="K14" s="343"/>
      <c r="L14" s="343"/>
      <c r="M14" s="343"/>
      <c r="N14" s="343"/>
      <c r="O14" s="343"/>
      <c r="P14" s="343"/>
      <c r="Q14" s="343"/>
      <c r="R14" s="343"/>
      <c r="S14" s="343"/>
      <c r="T14" s="343"/>
      <c r="U14" s="343"/>
      <c r="V14" s="343"/>
      <c r="W14" s="344"/>
      <c r="X14" s="368" t="s">
        <v>45</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42"/>
      <c r="AU14" s="46"/>
      <c r="AV14" s="44" t="str">
        <f>IF(J14&lt;&gt;"","OK","必須：担当者所属")</f>
        <v>必須：担当者所属</v>
      </c>
    </row>
    <row r="15" spans="1:48" ht="13.5" customHeight="1" x14ac:dyDescent="0.2">
      <c r="A15" s="42"/>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42"/>
      <c r="AU15" s="46"/>
      <c r="AV15" s="44" t="str">
        <f>IF(AF14&lt;&gt;"",IF(AM14&lt;&gt;"","OK","必須：担当者名かな"),"必須：担当者氏かな")</f>
        <v>必須：担当者氏かな</v>
      </c>
    </row>
    <row r="16" spans="1:48" ht="14.25" customHeight="1" thickBot="1" x14ac:dyDescent="0.25">
      <c r="A16" s="42"/>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42"/>
      <c r="AV16" s="47" t="str">
        <f>IF(AF15&lt;&gt;"",IF(AM15&lt;&gt;"","OK","必須：担当者名"),"必須：担当者氏")</f>
        <v>必須：担当者氏</v>
      </c>
    </row>
    <row r="17" spans="1:48" ht="13.5" customHeight="1" x14ac:dyDescent="0.2">
      <c r="A17" s="42"/>
      <c r="B17" s="304" t="s">
        <v>44</v>
      </c>
      <c r="C17" s="305"/>
      <c r="D17" s="305"/>
      <c r="E17" s="305"/>
      <c r="F17" s="305"/>
      <c r="G17" s="305"/>
      <c r="H17" s="305"/>
      <c r="I17" s="305"/>
      <c r="J17" s="351"/>
      <c r="K17" s="352"/>
      <c r="L17" s="352"/>
      <c r="M17" s="352"/>
      <c r="N17" s="355" t="s">
        <v>12</v>
      </c>
      <c r="O17" s="352"/>
      <c r="P17" s="352"/>
      <c r="Q17" s="352"/>
      <c r="R17" s="352"/>
      <c r="S17" s="355" t="s">
        <v>12</v>
      </c>
      <c r="T17" s="352"/>
      <c r="U17" s="352"/>
      <c r="V17" s="352"/>
      <c r="W17" s="357"/>
      <c r="X17" s="283" t="s">
        <v>43</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42"/>
      <c r="AV17" s="44" t="str">
        <f>IF(J17&amp;O17&amp;T17&lt;&gt;"","OK","必須：担当者連絡先")</f>
        <v>必須：担当者連絡先</v>
      </c>
    </row>
    <row r="18" spans="1:48" ht="14.25" customHeight="1" thickBot="1" x14ac:dyDescent="0.25">
      <c r="A18" s="42"/>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42"/>
      <c r="AV18" s="44" t="str">
        <f>IF(AF17&lt;&gt;"","OK","必須：担当者メールアドレス")</f>
        <v>必須：担当者メールアドレス</v>
      </c>
    </row>
    <row r="19" spans="1:48" ht="3.75" customHeight="1" x14ac:dyDescent="0.2">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x14ac:dyDescent="0.25">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x14ac:dyDescent="0.25">
      <c r="A21" s="42"/>
      <c r="B21" s="304" t="s">
        <v>41</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c r="AV21" s="44" t="str">
        <f>IF(J21&lt;&gt;"","OK","必須")</f>
        <v>必須</v>
      </c>
    </row>
    <row r="22" spans="1:48" ht="12.6" thickBot="1" x14ac:dyDescent="0.25">
      <c r="A22" s="42"/>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42"/>
    </row>
    <row r="23" spans="1:48" ht="12.6" thickBot="1" x14ac:dyDescent="0.25">
      <c r="A23" s="42"/>
      <c r="B23" s="304" t="s">
        <v>124</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42"/>
      <c r="AV23" s="44"/>
    </row>
    <row r="24" spans="1:48" ht="12.6" thickBot="1" x14ac:dyDescent="0.25">
      <c r="A24" s="42"/>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42"/>
      <c r="AU24" s="83" t="s">
        <v>141</v>
      </c>
    </row>
    <row r="25" spans="1:48" ht="12.6" thickBot="1" x14ac:dyDescent="0.25">
      <c r="A25" s="42"/>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42"/>
      <c r="AU25" s="41">
        <v>255</v>
      </c>
      <c r="AV25" s="44" t="str">
        <f>IF(J25&lt;&gt;"",IF(LEN(製品概要)&gt;AU25,"最大文字数を超えています。","OK"),"必須")</f>
        <v>必須</v>
      </c>
    </row>
    <row r="26" spans="1:48" ht="12.6" thickBot="1" x14ac:dyDescent="0.25">
      <c r="A26" s="42"/>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42"/>
    </row>
    <row r="27" spans="1:48" ht="12.6" thickBot="1" x14ac:dyDescent="0.25">
      <c r="A27" s="42"/>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42"/>
    </row>
    <row r="28" spans="1:48" ht="12.6" thickBot="1" x14ac:dyDescent="0.25">
      <c r="A28" s="42"/>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42"/>
    </row>
    <row r="29" spans="1:48" ht="12.6" thickBot="1" x14ac:dyDescent="0.25">
      <c r="A29" s="42"/>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42"/>
    </row>
    <row r="30" spans="1:48" ht="12.6" thickBot="1" x14ac:dyDescent="0.25">
      <c r="A30" s="42"/>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42"/>
    </row>
    <row r="31" spans="1:48" ht="41.1" customHeight="1" x14ac:dyDescent="0.2">
      <c r="A31" s="42"/>
      <c r="B31" s="282" t="s">
        <v>125</v>
      </c>
      <c r="C31" s="283"/>
      <c r="D31" s="283"/>
      <c r="E31" s="283"/>
      <c r="F31" s="283"/>
      <c r="G31" s="283"/>
      <c r="H31" s="283"/>
      <c r="I31" s="328"/>
      <c r="J31" s="331" t="s">
        <v>142</v>
      </c>
      <c r="K31" s="332"/>
      <c r="L31" s="332"/>
      <c r="M31" s="332"/>
      <c r="N31" s="332"/>
      <c r="O31" s="332"/>
      <c r="P31" s="332"/>
      <c r="Q31" s="332"/>
      <c r="R31" s="332"/>
      <c r="S31" s="332"/>
      <c r="T31" s="332"/>
      <c r="U31" s="332"/>
      <c r="V31" s="332"/>
      <c r="W31" s="332"/>
      <c r="X31" s="332"/>
      <c r="Y31" s="332"/>
      <c r="Z31" s="332"/>
      <c r="AA31" s="332"/>
      <c r="AB31" s="332" t="s">
        <v>143</v>
      </c>
      <c r="AC31" s="332"/>
      <c r="AD31" s="332"/>
      <c r="AE31" s="332"/>
      <c r="AF31" s="332"/>
      <c r="AG31" s="332"/>
      <c r="AH31" s="332"/>
      <c r="AI31" s="332"/>
      <c r="AJ31" s="332"/>
      <c r="AK31" s="332"/>
      <c r="AL31" s="332"/>
      <c r="AM31" s="332"/>
      <c r="AN31" s="332"/>
      <c r="AO31" s="332"/>
      <c r="AP31" s="332"/>
      <c r="AQ31" s="332"/>
      <c r="AR31" s="332"/>
      <c r="AS31" s="333"/>
      <c r="AT31" s="42"/>
      <c r="AU31" s="43" t="b">
        <v>0</v>
      </c>
      <c r="AV31" s="44" t="str">
        <f>IF(J32&lt;&gt;"","OK","必須：製品明細【A】製品本体にあたるもの")</f>
        <v>必須：製品明細【A】製品本体にあたるもの</v>
      </c>
    </row>
    <row r="32" spans="1:48" ht="16.5" customHeight="1" x14ac:dyDescent="0.2">
      <c r="A32" s="42"/>
      <c r="B32" s="285"/>
      <c r="C32" s="286"/>
      <c r="D32" s="286"/>
      <c r="E32" s="286"/>
      <c r="F32" s="286"/>
      <c r="G32" s="286"/>
      <c r="H32" s="286"/>
      <c r="I32" s="329"/>
      <c r="J32" s="334"/>
      <c r="K32" s="335"/>
      <c r="L32" s="335"/>
      <c r="M32" s="335"/>
      <c r="N32" s="335"/>
      <c r="O32" s="335"/>
      <c r="P32" s="335"/>
      <c r="Q32" s="335"/>
      <c r="R32" s="335"/>
      <c r="S32" s="335"/>
      <c r="T32" s="335"/>
      <c r="U32" s="335"/>
      <c r="V32" s="335"/>
      <c r="W32" s="335"/>
      <c r="X32" s="335"/>
      <c r="Y32" s="335"/>
      <c r="Z32" s="335"/>
      <c r="AA32" s="335"/>
      <c r="AB32" s="338"/>
      <c r="AC32" s="339"/>
      <c r="AD32" s="340" t="s">
        <v>144</v>
      </c>
      <c r="AE32" s="340"/>
      <c r="AF32" s="340"/>
      <c r="AG32" s="340"/>
      <c r="AH32" s="340"/>
      <c r="AI32" s="340"/>
      <c r="AJ32" s="340"/>
      <c r="AK32" s="340"/>
      <c r="AL32" s="340"/>
      <c r="AM32" s="340"/>
      <c r="AN32" s="340"/>
      <c r="AO32" s="340"/>
      <c r="AP32" s="340"/>
      <c r="AQ32" s="340"/>
      <c r="AR32" s="340"/>
      <c r="AS32" s="341"/>
      <c r="AT32" s="42"/>
      <c r="AU32" s="29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x14ac:dyDescent="0.2">
      <c r="A33" s="42"/>
      <c r="B33" s="285"/>
      <c r="C33" s="286"/>
      <c r="D33" s="286"/>
      <c r="E33" s="286"/>
      <c r="F33" s="286"/>
      <c r="G33" s="286"/>
      <c r="H33" s="286"/>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42"/>
      <c r="AU33" s="294"/>
      <c r="AV33" s="84" t="str">
        <f>IF(AU31=TRUE,IF(AB33&lt;&gt;"","！！！製品明細【B】で「対象なし」が選択されている場合、入力されている明細は登録されません！！！",""),"")</f>
        <v/>
      </c>
    </row>
    <row r="34" spans="1:48" ht="13.5" customHeight="1" x14ac:dyDescent="0.2">
      <c r="A34" s="42"/>
      <c r="B34" s="285"/>
      <c r="C34" s="286"/>
      <c r="D34" s="286"/>
      <c r="E34" s="286"/>
      <c r="F34" s="286"/>
      <c r="G34" s="286"/>
      <c r="H34" s="286"/>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42"/>
      <c r="AU34" s="294"/>
    </row>
    <row r="35" spans="1:48" ht="13.5" customHeight="1" x14ac:dyDescent="0.2">
      <c r="A35" s="42"/>
      <c r="B35" s="285"/>
      <c r="C35" s="286"/>
      <c r="D35" s="286"/>
      <c r="E35" s="286"/>
      <c r="F35" s="286"/>
      <c r="G35" s="286"/>
      <c r="H35" s="286"/>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42"/>
      <c r="AU35" s="294"/>
    </row>
    <row r="36" spans="1:48" ht="13.5" customHeight="1" x14ac:dyDescent="0.2">
      <c r="A36" s="42"/>
      <c r="B36" s="285"/>
      <c r="C36" s="286"/>
      <c r="D36" s="286"/>
      <c r="E36" s="286"/>
      <c r="F36" s="286"/>
      <c r="G36" s="286"/>
      <c r="H36" s="286"/>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42"/>
      <c r="AU36" s="294"/>
    </row>
    <row r="37" spans="1:48" ht="14.25" customHeight="1" thickBot="1" x14ac:dyDescent="0.25">
      <c r="A37" s="42"/>
      <c r="B37" s="288"/>
      <c r="C37" s="289"/>
      <c r="D37" s="289"/>
      <c r="E37" s="289"/>
      <c r="F37" s="289"/>
      <c r="G37" s="289"/>
      <c r="H37" s="289"/>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42"/>
      <c r="AU37" s="294"/>
    </row>
    <row r="38" spans="1:48" ht="12.6" thickBot="1" x14ac:dyDescent="0.25">
      <c r="A38" s="42"/>
      <c r="B38" s="304" t="s">
        <v>38</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42"/>
      <c r="AV38" s="44" t="str">
        <f>IF(J38&lt;&gt;"","OK","必須")</f>
        <v>必須</v>
      </c>
    </row>
    <row r="39" spans="1:48" ht="12.6" thickBot="1" x14ac:dyDescent="0.25">
      <c r="A39" s="42"/>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42"/>
    </row>
    <row r="40" spans="1:48" ht="6" customHeight="1" x14ac:dyDescent="0.2">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x14ac:dyDescent="0.2">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x14ac:dyDescent="0.2">
      <c r="A42" s="42"/>
      <c r="B42" s="304" t="s">
        <v>36</v>
      </c>
      <c r="C42" s="305"/>
      <c r="D42" s="305"/>
      <c r="E42" s="305"/>
      <c r="F42" s="305"/>
      <c r="G42" s="305"/>
      <c r="H42" s="305"/>
      <c r="I42" s="314"/>
      <c r="J42" s="316" t="str">
        <f>製品カテゴリ</f>
        <v>自動ダボ穴加工機</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17"/>
      <c r="AT42" s="42"/>
    </row>
    <row r="43" spans="1:48" ht="7.5" customHeight="1" x14ac:dyDescent="0.2">
      <c r="A43" s="42"/>
      <c r="B43" s="306"/>
      <c r="C43" s="307"/>
      <c r="D43" s="307"/>
      <c r="E43" s="307"/>
      <c r="F43" s="307"/>
      <c r="G43" s="307"/>
      <c r="H43" s="307"/>
      <c r="I43" s="315"/>
      <c r="J43" s="246"/>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18"/>
      <c r="AT43" s="42"/>
    </row>
    <row r="44" spans="1:48" ht="2.25" hidden="1" customHeight="1" x14ac:dyDescent="0.2">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x14ac:dyDescent="0.2">
      <c r="A45" s="42"/>
      <c r="B45" s="270" t="s">
        <v>35</v>
      </c>
      <c r="C45" s="270"/>
      <c r="D45" s="270"/>
      <c r="E45" s="270"/>
      <c r="F45" s="270"/>
      <c r="G45" s="270"/>
      <c r="H45" s="270"/>
      <c r="I45" s="270"/>
      <c r="J45" s="270"/>
      <c r="K45" s="270"/>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x14ac:dyDescent="0.2">
      <c r="A46" s="42"/>
      <c r="B46" s="270"/>
      <c r="C46" s="270"/>
      <c r="D46" s="270"/>
      <c r="E46" s="270"/>
      <c r="F46" s="270"/>
      <c r="G46" s="270"/>
      <c r="H46" s="270"/>
      <c r="I46" s="270"/>
      <c r="J46" s="270"/>
      <c r="K46" s="270"/>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x14ac:dyDescent="0.2">
      <c r="A47" s="42"/>
      <c r="B47" s="271" t="s">
        <v>126</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73"/>
      <c r="AQ47" s="73"/>
      <c r="AR47" s="73"/>
      <c r="AS47" s="73"/>
      <c r="AT47" s="42"/>
    </row>
    <row r="48" spans="1:48" x14ac:dyDescent="0.2">
      <c r="A48" s="42"/>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73"/>
      <c r="AQ48" s="73"/>
      <c r="AR48" s="73"/>
      <c r="AS48" s="73"/>
      <c r="AT48" s="42"/>
    </row>
    <row r="49" spans="1:48" ht="12" customHeight="1" x14ac:dyDescent="0.2">
      <c r="A49" s="42"/>
      <c r="B49" s="282" t="s">
        <v>127</v>
      </c>
      <c r="C49" s="283"/>
      <c r="D49" s="283"/>
      <c r="E49" s="283"/>
      <c r="F49" s="283"/>
      <c r="G49" s="283"/>
      <c r="H49" s="283"/>
      <c r="I49" s="283"/>
      <c r="J49" s="283"/>
      <c r="K49" s="283"/>
      <c r="L49" s="283"/>
      <c r="M49" s="284"/>
      <c r="N49" s="274">
        <f>平均納品金額</f>
        <v>0</v>
      </c>
      <c r="O49" s="275"/>
      <c r="P49" s="275"/>
      <c r="Q49" s="275"/>
      <c r="R49" s="275"/>
      <c r="S49" s="275"/>
      <c r="T49" s="275"/>
      <c r="U49" s="275"/>
      <c r="V49" s="275"/>
      <c r="W49" s="275"/>
      <c r="X49" s="278" t="s">
        <v>145</v>
      </c>
      <c r="Y49" s="278"/>
      <c r="Z49" s="278"/>
      <c r="AA49" s="279"/>
      <c r="AB49" s="282" t="s">
        <v>208</v>
      </c>
      <c r="AC49" s="283"/>
      <c r="AD49" s="283"/>
      <c r="AE49" s="283"/>
      <c r="AF49" s="283"/>
      <c r="AG49" s="284"/>
      <c r="AH49" s="253">
        <f>納入先</f>
        <v>0</v>
      </c>
      <c r="AI49" s="254"/>
      <c r="AJ49" s="254"/>
      <c r="AK49" s="254"/>
      <c r="AL49" s="254"/>
      <c r="AM49" s="254"/>
      <c r="AN49" s="254"/>
      <c r="AO49" s="254"/>
      <c r="AP49" s="254"/>
      <c r="AQ49" s="254"/>
      <c r="AR49" s="255"/>
      <c r="AS49" s="72"/>
      <c r="AT49" s="42"/>
      <c r="AV49" s="63"/>
    </row>
    <row r="50" spans="1:48" ht="0.75" customHeight="1" x14ac:dyDescent="0.2">
      <c r="A50" s="42"/>
      <c r="B50" s="285"/>
      <c r="C50" s="286"/>
      <c r="D50" s="286"/>
      <c r="E50" s="286"/>
      <c r="F50" s="286"/>
      <c r="G50" s="286"/>
      <c r="H50" s="286"/>
      <c r="I50" s="286"/>
      <c r="J50" s="286"/>
      <c r="K50" s="286"/>
      <c r="L50" s="286"/>
      <c r="M50" s="287"/>
      <c r="N50" s="276"/>
      <c r="O50" s="277"/>
      <c r="P50" s="277"/>
      <c r="Q50" s="277"/>
      <c r="R50" s="277"/>
      <c r="S50" s="277"/>
      <c r="T50" s="277"/>
      <c r="U50" s="277"/>
      <c r="V50" s="277"/>
      <c r="W50" s="277"/>
      <c r="X50" s="280"/>
      <c r="Y50" s="280"/>
      <c r="Z50" s="280"/>
      <c r="AA50" s="281"/>
      <c r="AB50" s="285"/>
      <c r="AC50" s="286"/>
      <c r="AD50" s="286"/>
      <c r="AE50" s="286"/>
      <c r="AF50" s="286"/>
      <c r="AG50" s="287"/>
      <c r="AH50" s="256"/>
      <c r="AI50" s="257"/>
      <c r="AJ50" s="257"/>
      <c r="AK50" s="257"/>
      <c r="AL50" s="257"/>
      <c r="AM50" s="257"/>
      <c r="AN50" s="257"/>
      <c r="AO50" s="257"/>
      <c r="AP50" s="257"/>
      <c r="AQ50" s="257"/>
      <c r="AR50" s="258"/>
      <c r="AS50" s="72"/>
      <c r="AT50" s="42"/>
      <c r="AV50" s="42"/>
    </row>
    <row r="51" spans="1:48" ht="3.75" customHeight="1" x14ac:dyDescent="0.2">
      <c r="A51" s="42"/>
      <c r="B51" s="285"/>
      <c r="C51" s="286"/>
      <c r="D51" s="286"/>
      <c r="E51" s="286"/>
      <c r="F51" s="286"/>
      <c r="G51" s="286"/>
      <c r="H51" s="286"/>
      <c r="I51" s="286"/>
      <c r="J51" s="286"/>
      <c r="K51" s="286"/>
      <c r="L51" s="286"/>
      <c r="M51" s="287"/>
      <c r="N51" s="276"/>
      <c r="O51" s="277"/>
      <c r="P51" s="277"/>
      <c r="Q51" s="277"/>
      <c r="R51" s="277"/>
      <c r="S51" s="277"/>
      <c r="T51" s="277"/>
      <c r="U51" s="277"/>
      <c r="V51" s="277"/>
      <c r="W51" s="277"/>
      <c r="X51" s="280"/>
      <c r="Y51" s="280"/>
      <c r="Z51" s="280"/>
      <c r="AA51" s="281"/>
      <c r="AB51" s="285"/>
      <c r="AC51" s="286"/>
      <c r="AD51" s="286"/>
      <c r="AE51" s="286"/>
      <c r="AF51" s="286"/>
      <c r="AG51" s="287"/>
      <c r="AH51" s="256"/>
      <c r="AI51" s="257"/>
      <c r="AJ51" s="257"/>
      <c r="AK51" s="257"/>
      <c r="AL51" s="257"/>
      <c r="AM51" s="257"/>
      <c r="AN51" s="257"/>
      <c r="AO51" s="257"/>
      <c r="AP51" s="257"/>
      <c r="AQ51" s="257"/>
      <c r="AR51" s="258"/>
      <c r="AS51" s="71"/>
      <c r="AT51" s="42"/>
      <c r="AV51" s="42"/>
    </row>
    <row r="52" spans="1:48" ht="6.75" customHeight="1" x14ac:dyDescent="0.2">
      <c r="A52" s="42"/>
      <c r="B52" s="285"/>
      <c r="C52" s="286"/>
      <c r="D52" s="286"/>
      <c r="E52" s="286"/>
      <c r="F52" s="286"/>
      <c r="G52" s="286"/>
      <c r="H52" s="286"/>
      <c r="I52" s="286"/>
      <c r="J52" s="286"/>
      <c r="K52" s="286"/>
      <c r="L52" s="286"/>
      <c r="M52" s="287"/>
      <c r="N52" s="276"/>
      <c r="O52" s="277"/>
      <c r="P52" s="277"/>
      <c r="Q52" s="277"/>
      <c r="R52" s="277"/>
      <c r="S52" s="277"/>
      <c r="T52" s="277"/>
      <c r="U52" s="277"/>
      <c r="V52" s="277"/>
      <c r="W52" s="277"/>
      <c r="X52" s="280"/>
      <c r="Y52" s="280"/>
      <c r="Z52" s="280"/>
      <c r="AA52" s="281"/>
      <c r="AB52" s="288"/>
      <c r="AC52" s="289"/>
      <c r="AD52" s="289"/>
      <c r="AE52" s="289"/>
      <c r="AF52" s="289"/>
      <c r="AG52" s="290"/>
      <c r="AH52" s="259"/>
      <c r="AI52" s="260"/>
      <c r="AJ52" s="260"/>
      <c r="AK52" s="260"/>
      <c r="AL52" s="260"/>
      <c r="AM52" s="260"/>
      <c r="AN52" s="260"/>
      <c r="AO52" s="260"/>
      <c r="AP52" s="260"/>
      <c r="AQ52" s="260"/>
      <c r="AR52" s="261"/>
      <c r="AS52" s="72"/>
      <c r="AT52" s="42"/>
      <c r="AV52" s="42"/>
    </row>
    <row r="53" spans="1:48" ht="12" customHeight="1" x14ac:dyDescent="0.2">
      <c r="A53" s="42"/>
      <c r="B53" s="291" t="s">
        <v>128</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3"/>
      <c r="AB53" s="272" t="s">
        <v>103</v>
      </c>
      <c r="AC53" s="272"/>
      <c r="AD53" s="272"/>
      <c r="AE53" s="272"/>
      <c r="AF53" s="272"/>
      <c r="AG53" s="272"/>
      <c r="AH53" s="272"/>
      <c r="AI53" s="272"/>
      <c r="AJ53" s="272"/>
      <c r="AK53" s="272"/>
      <c r="AL53" s="272"/>
      <c r="AM53" s="272"/>
      <c r="AN53" s="272"/>
      <c r="AO53" s="272"/>
      <c r="AP53" s="272"/>
      <c r="AQ53" s="272"/>
      <c r="AR53" s="273"/>
      <c r="AS53" s="79"/>
      <c r="AT53" s="45"/>
      <c r="AV53" s="42"/>
    </row>
    <row r="54" spans="1:48" x14ac:dyDescent="0.2">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x14ac:dyDescent="0.2">
      <c r="A55" s="264" t="s">
        <v>34</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x14ac:dyDescent="0.2">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x14ac:dyDescent="0.2">
      <c r="A57" s="254" t="str">
        <f>"【"&amp;製品カテゴリ&amp;"】"</f>
        <v>【自動ダボ穴加工機】</v>
      </c>
      <c r="B57" s="254"/>
      <c r="C57" s="254"/>
      <c r="D57" s="254"/>
      <c r="E57" s="254"/>
      <c r="F57" s="254"/>
      <c r="G57" s="254"/>
      <c r="H57" s="254"/>
      <c r="I57" s="254"/>
      <c r="J57" s="254"/>
      <c r="K57" s="254"/>
      <c r="L57" s="254"/>
      <c r="M57" s="254"/>
      <c r="N57" s="254"/>
      <c r="O57" s="254"/>
      <c r="P57" s="254"/>
      <c r="Q57" s="254"/>
      <c r="R57" s="254"/>
      <c r="S57" s="254"/>
      <c r="T57" s="254"/>
      <c r="U57" s="254"/>
      <c r="V57" s="254"/>
      <c r="W57" s="254"/>
      <c r="X57" s="42"/>
      <c r="Y57" s="42"/>
      <c r="Z57" s="42"/>
      <c r="AA57" s="42"/>
      <c r="AB57" s="42"/>
      <c r="AC57" s="42"/>
      <c r="AD57" s="42"/>
      <c r="AE57" s="42"/>
      <c r="AF57" s="42"/>
      <c r="AG57" s="42"/>
      <c r="AH57" s="42"/>
      <c r="AI57" s="42"/>
      <c r="AJ57" s="42"/>
      <c r="AK57" s="42"/>
      <c r="AL57" s="42"/>
      <c r="AM57" s="42"/>
      <c r="AN57" s="42"/>
      <c r="AO57" s="42"/>
      <c r="AP57" s="262" t="s">
        <v>33</v>
      </c>
      <c r="AQ57" s="262"/>
      <c r="AR57" s="262"/>
      <c r="AS57" s="262"/>
      <c r="AT57" s="262"/>
    </row>
    <row r="58" spans="1:48" x14ac:dyDescent="0.2">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3"/>
      <c r="AQ58" s="263"/>
      <c r="AR58" s="263"/>
      <c r="AS58" s="263"/>
      <c r="AT58" s="263"/>
    </row>
    <row r="59" spans="1:48" x14ac:dyDescent="0.2">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x14ac:dyDescent="0.2">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x14ac:dyDescent="0.2">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x14ac:dyDescent="0.25">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x14ac:dyDescent="0.2">
      <c r="A63" s="42"/>
      <c r="B63" s="243" t="s">
        <v>207</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7"/>
      <c r="AS63" s="248"/>
      <c r="AT63" s="42"/>
    </row>
    <row r="64" spans="1:48" ht="12" customHeight="1" x14ac:dyDescent="0.2">
      <c r="A64" s="42"/>
      <c r="B64" s="245"/>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9"/>
      <c r="AS64" s="250"/>
      <c r="AT64" s="42"/>
      <c r="AU64" s="43" t="b">
        <v>0</v>
      </c>
      <c r="AV64" s="44" t="str">
        <f>IF(AU64,"OK","必須")</f>
        <v>必須</v>
      </c>
    </row>
    <row r="65" spans="1:47" ht="12" customHeight="1" x14ac:dyDescent="0.2">
      <c r="A65" s="42"/>
      <c r="B65" s="245"/>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9"/>
      <c r="AS65" s="250"/>
      <c r="AT65" s="42"/>
      <c r="AU65" s="43"/>
    </row>
    <row r="66" spans="1:47" ht="12" customHeight="1" x14ac:dyDescent="0.2">
      <c r="A66" s="42"/>
      <c r="B66" s="245"/>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9"/>
      <c r="AS66" s="250"/>
      <c r="AT66" s="42"/>
      <c r="AU66" s="43"/>
    </row>
    <row r="67" spans="1:47" ht="12" customHeight="1" x14ac:dyDescent="0.2">
      <c r="A67" s="42"/>
      <c r="B67" s="245"/>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9"/>
      <c r="AS67" s="250"/>
      <c r="AT67" s="42"/>
      <c r="AU67" s="43"/>
    </row>
    <row r="68" spans="1:47" ht="12" customHeight="1" thickBot="1" x14ac:dyDescent="0.25">
      <c r="A68" s="42"/>
      <c r="B68" s="246"/>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51"/>
      <c r="AS68" s="252"/>
      <c r="AT68" s="42"/>
    </row>
    <row r="69" spans="1:47"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x14ac:dyDescent="0.2">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x14ac:dyDescent="0.2">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x14ac:dyDescent="0.2">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x14ac:dyDescent="0.2">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x14ac:dyDescent="0.2">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x14ac:dyDescent="0.2">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x14ac:dyDescent="0.2">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x14ac:dyDescent="0.2">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x14ac:dyDescent="0.2">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x14ac:dyDescent="0.2">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x14ac:dyDescent="0.2">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x14ac:dyDescent="0.2">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x14ac:dyDescent="0.2">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x14ac:dyDescent="0.2">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x14ac:dyDescent="0.2">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1FxhjygdOgRyPscNSnaMNDsXNCd1vy+6ASYJe/iI9eC84coUpouS/IyQ6y87aDVwfHbwKCn3ywb/OJWCeE3e6g==" saltValue="6G02++lJKL+bDLe5mq43Jw=="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x14ac:dyDescent="0.2"/>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x14ac:dyDescent="0.2">
      <c r="A1" s="20" t="s">
        <v>146</v>
      </c>
      <c r="I1" t="s">
        <v>147</v>
      </c>
    </row>
    <row r="2" spans="1:21" customFormat="1" ht="13.2" x14ac:dyDescent="0.2">
      <c r="A2" t="s">
        <v>148</v>
      </c>
      <c r="I2" s="409" t="s">
        <v>17</v>
      </c>
      <c r="J2" s="409"/>
      <c r="K2" t="s">
        <v>149</v>
      </c>
    </row>
    <row r="3" spans="1:21" customFormat="1" ht="13.2" x14ac:dyDescent="0.2">
      <c r="A3" t="s">
        <v>211</v>
      </c>
      <c r="I3" s="410" t="s">
        <v>150</v>
      </c>
      <c r="J3" s="410"/>
      <c r="K3" t="s">
        <v>151</v>
      </c>
    </row>
    <row r="4" spans="1:21" customFormat="1" ht="4.5" customHeight="1" x14ac:dyDescent="0.2"/>
    <row r="5" spans="1:21" customFormat="1" ht="19.2" x14ac:dyDescent="0.2">
      <c r="B5" s="89" t="s">
        <v>152</v>
      </c>
      <c r="C5" s="90"/>
      <c r="D5" s="90"/>
      <c r="E5" s="90"/>
      <c r="F5" s="90"/>
      <c r="G5" s="91"/>
    </row>
    <row r="6" spans="1:21" customFormat="1" ht="13.2" x14ac:dyDescent="0.2">
      <c r="B6" s="92" t="s">
        <v>153</v>
      </c>
      <c r="C6" s="92"/>
      <c r="D6" s="92"/>
      <c r="E6" s="92"/>
      <c r="F6" s="92"/>
      <c r="G6" s="93"/>
    </row>
    <row r="7" spans="1:21" customFormat="1" ht="4.5" customHeight="1" x14ac:dyDescent="0.2"/>
    <row r="8" spans="1:21" customFormat="1" ht="33" customHeight="1" thickBot="1" x14ac:dyDescent="0.25">
      <c r="B8" s="411" t="s">
        <v>57</v>
      </c>
      <c r="C8" s="411"/>
      <c r="D8" s="88">
        <f>製造事業者名</f>
        <v>0</v>
      </c>
      <c r="E8" s="411" t="s">
        <v>104</v>
      </c>
      <c r="F8" s="411"/>
      <c r="G8" s="412">
        <f>製品名称</f>
        <v>0</v>
      </c>
      <c r="H8" s="412"/>
    </row>
    <row r="9" spans="1:21" customFormat="1" ht="33" customHeight="1" thickBot="1" x14ac:dyDescent="0.25">
      <c r="B9" s="411" t="s">
        <v>154</v>
      </c>
      <c r="C9" s="411"/>
      <c r="D9" s="94"/>
      <c r="E9" s="413" t="s">
        <v>40</v>
      </c>
      <c r="F9" s="411"/>
      <c r="G9" s="412">
        <f>型番</f>
        <v>0</v>
      </c>
      <c r="H9" s="412"/>
    </row>
    <row r="10" spans="1:21" customFormat="1" ht="5.25" customHeight="1" x14ac:dyDescent="0.2"/>
    <row r="11" spans="1:21" customFormat="1" ht="19.2" x14ac:dyDescent="0.2">
      <c r="B11" s="89" t="s">
        <v>155</v>
      </c>
      <c r="C11" s="90"/>
      <c r="D11" s="90"/>
      <c r="E11" s="90"/>
      <c r="F11" s="90"/>
      <c r="G11" s="90"/>
      <c r="H11" s="91"/>
      <c r="J11" s="89" t="s">
        <v>213</v>
      </c>
      <c r="K11" s="90"/>
      <c r="L11" s="90"/>
      <c r="M11" s="90"/>
      <c r="N11" s="90"/>
      <c r="O11" s="90"/>
      <c r="P11" s="90"/>
      <c r="Q11" s="90"/>
      <c r="R11" s="90"/>
      <c r="S11" s="90"/>
      <c r="T11" s="90"/>
      <c r="U11" s="91"/>
    </row>
    <row r="12" spans="1:21" customFormat="1" ht="13.2" x14ac:dyDescent="0.2">
      <c r="B12" s="90" t="s">
        <v>156</v>
      </c>
      <c r="C12" s="90"/>
      <c r="D12" s="90"/>
      <c r="E12" s="90"/>
      <c r="F12" s="90"/>
      <c r="G12" s="90"/>
      <c r="H12" s="91"/>
      <c r="J12" s="95" t="s">
        <v>214</v>
      </c>
      <c r="K12" s="95"/>
      <c r="L12" s="90"/>
      <c r="M12" s="90"/>
      <c r="N12" s="90"/>
      <c r="O12" s="90"/>
      <c r="P12" s="90"/>
      <c r="Q12" s="90"/>
      <c r="R12" s="90"/>
      <c r="S12" s="90"/>
      <c r="T12" s="90"/>
      <c r="U12" s="91"/>
    </row>
    <row r="13" spans="1:21" customFormat="1" ht="13.2" x14ac:dyDescent="0.2">
      <c r="B13" s="96" t="s">
        <v>212</v>
      </c>
      <c r="C13" s="96"/>
      <c r="D13" s="96"/>
      <c r="E13" s="96"/>
      <c r="F13" s="96"/>
      <c r="G13" s="96"/>
      <c r="H13" s="97"/>
      <c r="J13" s="95" t="s">
        <v>157</v>
      </c>
      <c r="K13" s="95"/>
      <c r="L13" s="90"/>
      <c r="M13" s="90"/>
      <c r="N13" s="90"/>
      <c r="O13" s="90"/>
      <c r="P13" s="90"/>
      <c r="Q13" s="90"/>
      <c r="R13" s="90"/>
      <c r="S13" s="90"/>
      <c r="T13" s="90"/>
      <c r="U13" s="91"/>
    </row>
    <row r="14" spans="1:21" customFormat="1" ht="13.2" x14ac:dyDescent="0.2">
      <c r="G14" s="86"/>
      <c r="H14" s="86"/>
      <c r="J14" s="90" t="s">
        <v>158</v>
      </c>
      <c r="K14" s="90"/>
      <c r="L14" s="90"/>
      <c r="M14" s="90"/>
      <c r="N14" s="90"/>
      <c r="O14" s="90"/>
      <c r="P14" s="90"/>
      <c r="Q14" s="90"/>
      <c r="R14" s="90"/>
      <c r="S14" s="90"/>
      <c r="T14" s="90"/>
      <c r="U14" s="91"/>
    </row>
    <row r="15" spans="1:21" customFormat="1" ht="13.2" x14ac:dyDescent="0.2">
      <c r="G15" s="86"/>
      <c r="H15" s="86"/>
      <c r="J15" s="98" t="s">
        <v>159</v>
      </c>
      <c r="K15" s="99"/>
      <c r="L15" s="99"/>
      <c r="M15" s="99"/>
      <c r="N15" s="99"/>
      <c r="O15" s="99"/>
      <c r="P15" s="99"/>
      <c r="Q15" s="99"/>
      <c r="R15" s="99"/>
      <c r="S15" s="99"/>
      <c r="T15" s="99"/>
      <c r="U15" s="100"/>
    </row>
    <row r="16" spans="1:21" customFormat="1" ht="4.5" customHeight="1" thickBot="1" x14ac:dyDescent="0.25">
      <c r="G16" s="86"/>
      <c r="H16" s="86"/>
    </row>
    <row r="17" spans="2:21" customFormat="1" ht="16.8" thickBot="1" x14ac:dyDescent="0.25">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x14ac:dyDescent="0.2">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x14ac:dyDescent="0.2">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x14ac:dyDescent="0.2">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x14ac:dyDescent="0.2">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x14ac:dyDescent="0.2">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x14ac:dyDescent="0.2">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x14ac:dyDescent="0.2">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x14ac:dyDescent="0.2">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x14ac:dyDescent="0.2">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x14ac:dyDescent="0.2">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x14ac:dyDescent="0.2">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x14ac:dyDescent="0.2">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x14ac:dyDescent="0.2">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x14ac:dyDescent="0.2">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x14ac:dyDescent="0.2">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x14ac:dyDescent="0.2">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x14ac:dyDescent="0.2">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hh8nn+fJjs9GyMPiOPCk4I3DELy2iLac7sKxz0VZ5axjYJhGef1za80c0pWtwxVFYqaGmDTXwR480xFl4ruSrg==" saltValue="VnvLJp03QAeb5T/G3j8mwA=="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x14ac:dyDescent="0.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x14ac:dyDescent="0.2">
      <c r="A1" s="264" t="s">
        <v>51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x14ac:dyDescent="0.2">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80" t="str">
        <f>'②製品審査申請書（事務局用）'!AV10</f>
        <v>登録済の場合必須：製造事業者番号</v>
      </c>
    </row>
    <row r="3" spans="1:48" x14ac:dyDescent="0.2">
      <c r="A3" s="254" t="str">
        <f>"【"&amp;製品カテゴリ&amp;"】"</f>
        <v>【自動ダボ穴加工機】</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3">
        <v>5</v>
      </c>
      <c r="AV3" s="48">
        <f>COUNTIF(AV8:AV30,"OK")</f>
        <v>0</v>
      </c>
    </row>
    <row r="4" spans="1:48" x14ac:dyDescent="0.2">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x14ac:dyDescent="0.2">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x14ac:dyDescent="0.2">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x14ac:dyDescent="0.2">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x14ac:dyDescent="0.2">
      <c r="A8" s="42"/>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42"/>
    </row>
    <row r="9" spans="1:48" ht="12.6" thickBot="1" x14ac:dyDescent="0.25">
      <c r="A9" s="42"/>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42"/>
    </row>
    <row r="10" spans="1:48" x14ac:dyDescent="0.2">
      <c r="A10" s="42"/>
      <c r="B10" s="304" t="s">
        <v>56</v>
      </c>
      <c r="C10" s="305"/>
      <c r="D10" s="305"/>
      <c r="E10" s="305"/>
      <c r="F10" s="305"/>
      <c r="G10" s="305"/>
      <c r="H10" s="305"/>
      <c r="I10" s="305"/>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x14ac:dyDescent="0.25">
      <c r="A11" s="42"/>
      <c r="B11" s="306"/>
      <c r="C11" s="307"/>
      <c r="D11" s="307"/>
      <c r="E11" s="307"/>
      <c r="F11" s="307"/>
      <c r="G11" s="307"/>
      <c r="H11" s="307"/>
      <c r="I11" s="307"/>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x14ac:dyDescent="0.2">
      <c r="A12" s="42"/>
      <c r="B12" s="304" t="s">
        <v>55</v>
      </c>
      <c r="C12" s="305"/>
      <c r="D12" s="305"/>
      <c r="E12" s="305"/>
      <c r="F12" s="305"/>
      <c r="G12" s="305"/>
      <c r="H12" s="305"/>
      <c r="I12" s="305"/>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x14ac:dyDescent="0.25">
      <c r="A13" s="42"/>
      <c r="B13" s="306"/>
      <c r="C13" s="307"/>
      <c r="D13" s="307"/>
      <c r="E13" s="307"/>
      <c r="F13" s="307"/>
      <c r="G13" s="307"/>
      <c r="H13" s="307"/>
      <c r="I13" s="307"/>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x14ac:dyDescent="0.2">
      <c r="A14" s="42"/>
      <c r="B14" s="304" t="s">
        <v>54</v>
      </c>
      <c r="C14" s="305"/>
      <c r="D14" s="305"/>
      <c r="E14" s="305"/>
      <c r="F14" s="305"/>
      <c r="G14" s="305"/>
      <c r="H14" s="305"/>
      <c r="I14" s="305"/>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x14ac:dyDescent="0.2">
      <c r="A15" s="42"/>
      <c r="B15" s="306"/>
      <c r="C15" s="307"/>
      <c r="D15" s="307"/>
      <c r="E15" s="307"/>
      <c r="F15" s="307"/>
      <c r="G15" s="307"/>
      <c r="H15" s="307"/>
      <c r="I15" s="307"/>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x14ac:dyDescent="0.2">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x14ac:dyDescent="0.25">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x14ac:dyDescent="0.2">
      <c r="A18" s="42"/>
      <c r="B18" s="282" t="s">
        <v>52</v>
      </c>
      <c r="C18" s="305"/>
      <c r="D18" s="305"/>
      <c r="E18" s="305"/>
      <c r="F18" s="305"/>
      <c r="G18" s="305"/>
      <c r="H18" s="305"/>
      <c r="I18" s="305"/>
      <c r="J18" s="414"/>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42"/>
    </row>
    <row r="19" spans="1:58" x14ac:dyDescent="0.2">
      <c r="A19" s="42"/>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42"/>
      <c r="AV19" s="44" t="str">
        <f>IF(J18&lt;&gt;"","OK","必須")</f>
        <v>必須</v>
      </c>
    </row>
    <row r="20" spans="1:58" x14ac:dyDescent="0.2">
      <c r="A20" s="42"/>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42"/>
    </row>
    <row r="21" spans="1:58" ht="12.6" thickBot="1" x14ac:dyDescent="0.25">
      <c r="A21" s="42"/>
      <c r="B21" s="306"/>
      <c r="C21" s="307"/>
      <c r="D21" s="307"/>
      <c r="E21" s="307"/>
      <c r="F21" s="307"/>
      <c r="G21" s="308"/>
      <c r="H21" s="308"/>
      <c r="I21" s="308"/>
      <c r="J21" s="415"/>
      <c r="K21" s="416"/>
      <c r="L21" s="416"/>
      <c r="M21" s="416"/>
      <c r="N21" s="416"/>
      <c r="O21" s="416"/>
      <c r="P21" s="416"/>
      <c r="Q21" s="416"/>
      <c r="R21" s="416"/>
      <c r="S21" s="416"/>
      <c r="T21" s="416"/>
      <c r="U21" s="416"/>
      <c r="V21" s="416"/>
      <c r="W21" s="41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42"/>
    </row>
    <row r="22" spans="1:58" x14ac:dyDescent="0.2">
      <c r="A22" s="42"/>
      <c r="B22" s="270" t="s">
        <v>32</v>
      </c>
      <c r="C22" s="270"/>
      <c r="D22" s="270"/>
      <c r="E22" s="270"/>
      <c r="F22" s="270"/>
      <c r="G22" s="270"/>
      <c r="H22" s="270"/>
      <c r="I22" s="270"/>
      <c r="J22" s="270"/>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x14ac:dyDescent="0.2">
      <c r="A23" s="42"/>
      <c r="B23" s="270"/>
      <c r="C23" s="270"/>
      <c r="D23" s="270"/>
      <c r="E23" s="270"/>
      <c r="F23" s="270"/>
      <c r="G23" s="270"/>
      <c r="H23" s="270"/>
      <c r="I23" s="270"/>
      <c r="J23" s="270"/>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x14ac:dyDescent="0.2">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x14ac:dyDescent="0.25">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x14ac:dyDescent="0.2">
      <c r="A26" s="42"/>
      <c r="B26" s="243" t="s">
        <v>188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7"/>
      <c r="AS26" s="248"/>
      <c r="AT26" s="42"/>
      <c r="AV26" s="44"/>
    </row>
    <row r="27" spans="1:58" ht="12" customHeight="1" x14ac:dyDescent="0.2">
      <c r="A27" s="42"/>
      <c r="B27" s="245"/>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9"/>
      <c r="AS27" s="250"/>
      <c r="AT27" s="42"/>
      <c r="AU27" s="43" t="b">
        <v>0</v>
      </c>
      <c r="AV27" s="44" t="str">
        <f>IF(AU27,"OK","必須")</f>
        <v>必須</v>
      </c>
    </row>
    <row r="28" spans="1:58" ht="12" customHeight="1" x14ac:dyDescent="0.2">
      <c r="A28" s="42"/>
      <c r="B28" s="245"/>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9"/>
      <c r="AS28" s="250"/>
      <c r="AT28" s="42"/>
      <c r="AV28" s="44"/>
    </row>
    <row r="29" spans="1:58" ht="12" customHeight="1" x14ac:dyDescent="0.2">
      <c r="A29" s="42"/>
      <c r="B29" s="245"/>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9"/>
      <c r="AS29" s="250"/>
      <c r="AT29" s="42"/>
      <c r="AV29" s="44"/>
    </row>
    <row r="30" spans="1:58" ht="12" customHeight="1" thickBot="1" x14ac:dyDescent="0.25">
      <c r="A30" s="42"/>
      <c r="B30" s="246"/>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51"/>
      <c r="AS30" s="252"/>
      <c r="AT30" s="42"/>
      <c r="AV30" s="44"/>
    </row>
    <row r="31" spans="1:58" x14ac:dyDescent="0.2">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x14ac:dyDescent="0.2">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x14ac:dyDescent="0.2">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x14ac:dyDescent="0.2">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x14ac:dyDescent="0.2">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x14ac:dyDescent="0.2">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x14ac:dyDescent="0.2">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x14ac:dyDescent="0.2">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x14ac:dyDescent="0.2">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x14ac:dyDescent="0.2">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x14ac:dyDescent="0.2">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x14ac:dyDescent="0.2">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x14ac:dyDescent="0.2">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x14ac:dyDescent="0.2">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x14ac:dyDescent="0.2">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x14ac:dyDescent="0.2">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x14ac:dyDescent="0.2">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x14ac:dyDescent="0.2">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x14ac:dyDescent="0.2">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x14ac:dyDescent="0.2">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cc/Cada4ABuppBcThQIQmvdqlSL9//4AGEtTYo/UdOpIISl+DaxFLhn3z700ClbgdDME8Sf2px+ZYT2118k5Ew==" saltValue="cZHq0xoT3B0c7jYfbKMNDw=="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x14ac:dyDescent="0.2"/>
  <cols>
    <col min="1" max="49" width="2.109375" style="41" customWidth="1"/>
    <col min="50" max="16384" width="8.88671875" style="41"/>
  </cols>
  <sheetData>
    <row r="1" spans="1:49" ht="12" customHeight="1" x14ac:dyDescent="0.2">
      <c r="A1" s="457" t="s">
        <v>69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x14ac:dyDescent="0.2">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x14ac:dyDescent="0.2">
      <c r="A3" s="244" t="str">
        <f>"【"&amp;製品カテゴリ&amp;"】"</f>
        <v>【自動ダボ穴加工機】</v>
      </c>
      <c r="B3" s="244"/>
      <c r="C3" s="244"/>
      <c r="D3" s="244"/>
      <c r="E3" s="244"/>
      <c r="F3" s="244"/>
      <c r="G3" s="244"/>
      <c r="H3" s="244"/>
      <c r="I3" s="244"/>
      <c r="J3" s="244"/>
      <c r="K3" s="244"/>
      <c r="L3" s="244"/>
      <c r="M3" s="244"/>
      <c r="N3" s="244"/>
      <c r="O3" s="244"/>
      <c r="P3" s="244"/>
      <c r="Q3" s="244"/>
      <c r="R3" s="244"/>
      <c r="S3" s="244"/>
      <c r="T3" s="244"/>
      <c r="U3" s="244"/>
      <c r="V3" s="244"/>
      <c r="W3" s="244"/>
      <c r="X3" s="244"/>
      <c r="Y3" s="42"/>
      <c r="Z3" s="42"/>
      <c r="AA3" s="42"/>
      <c r="AB3" s="42"/>
      <c r="AC3" s="42"/>
      <c r="AD3" s="42"/>
      <c r="AE3" s="42"/>
      <c r="AF3" s="42"/>
      <c r="AG3" s="42"/>
      <c r="AH3" s="42"/>
      <c r="AI3" s="42"/>
      <c r="AJ3" s="42"/>
      <c r="AK3" s="42"/>
      <c r="AL3" s="42"/>
      <c r="AM3" s="42"/>
      <c r="AN3" s="42"/>
      <c r="AO3" s="42"/>
      <c r="AP3" s="42"/>
      <c r="AQ3" s="42"/>
      <c r="AR3" s="42"/>
      <c r="AS3" s="262" t="s">
        <v>50</v>
      </c>
      <c r="AT3" s="262"/>
      <c r="AU3" s="262"/>
      <c r="AV3" s="262"/>
      <c r="AW3" s="262"/>
    </row>
    <row r="4" spans="1:49" x14ac:dyDescent="0.2">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63"/>
      <c r="AT4" s="263"/>
      <c r="AU4" s="263"/>
      <c r="AV4" s="263"/>
      <c r="AW4" s="263"/>
    </row>
    <row r="5" spans="1:49" x14ac:dyDescent="0.2">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x14ac:dyDescent="0.2">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x14ac:dyDescent="0.2">
      <c r="A7" s="42"/>
      <c r="B7" s="478" t="s">
        <v>130</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2"/>
    </row>
    <row r="8" spans="1:49" x14ac:dyDescent="0.2">
      <c r="A8" s="4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2"/>
    </row>
    <row r="9" spans="1:49" x14ac:dyDescent="0.2">
      <c r="A9" s="42"/>
      <c r="B9" s="439" t="s">
        <v>64</v>
      </c>
      <c r="C9" s="439"/>
      <c r="D9" s="304" t="s">
        <v>63</v>
      </c>
      <c r="E9" s="305"/>
      <c r="F9" s="314"/>
      <c r="G9" s="439" t="s">
        <v>62</v>
      </c>
      <c r="H9" s="439"/>
      <c r="I9" s="439"/>
      <c r="J9" s="439"/>
      <c r="K9" s="439"/>
      <c r="L9" s="439"/>
      <c r="M9" s="439"/>
      <c r="N9" s="439"/>
      <c r="O9" s="439"/>
      <c r="P9" s="439"/>
      <c r="Q9" s="439"/>
      <c r="R9" s="439"/>
      <c r="S9" s="439"/>
      <c r="T9" s="439"/>
      <c r="U9" s="439"/>
      <c r="V9" s="439"/>
      <c r="W9" s="439"/>
      <c r="X9" s="439"/>
      <c r="Y9" s="439" t="s">
        <v>80</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2"/>
    </row>
    <row r="10" spans="1:49" x14ac:dyDescent="0.2">
      <c r="A10" s="42"/>
      <c r="B10" s="439"/>
      <c r="C10" s="439"/>
      <c r="D10" s="306"/>
      <c r="E10" s="307"/>
      <c r="F10" s="315"/>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2"/>
    </row>
    <row r="11" spans="1:49" x14ac:dyDescent="0.2">
      <c r="A11" s="42"/>
      <c r="B11" s="472" t="s">
        <v>131</v>
      </c>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4"/>
      <c r="AW11" s="42"/>
    </row>
    <row r="12" spans="1:49" x14ac:dyDescent="0.2">
      <c r="A12" s="42"/>
      <c r="B12" s="475"/>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7"/>
      <c r="AW12" s="42"/>
    </row>
    <row r="13" spans="1:49" ht="12" customHeight="1" x14ac:dyDescent="0.2">
      <c r="A13" s="42"/>
      <c r="B13" s="433">
        <v>1</v>
      </c>
      <c r="C13" s="434"/>
      <c r="D13" s="75"/>
      <c r="E13" s="75"/>
      <c r="F13" s="75"/>
      <c r="G13" s="451" t="s">
        <v>178</v>
      </c>
      <c r="H13" s="452"/>
      <c r="I13" s="452"/>
      <c r="J13" s="452"/>
      <c r="K13" s="452"/>
      <c r="L13" s="452"/>
      <c r="M13" s="452"/>
      <c r="N13" s="452"/>
      <c r="O13" s="452"/>
      <c r="P13" s="452"/>
      <c r="Q13" s="452"/>
      <c r="R13" s="452"/>
      <c r="S13" s="452"/>
      <c r="T13" s="452"/>
      <c r="U13" s="452"/>
      <c r="V13" s="452"/>
      <c r="W13" s="452"/>
      <c r="X13" s="453"/>
      <c r="Y13" s="451" t="s">
        <v>177</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2"/>
    </row>
    <row r="14" spans="1:49" x14ac:dyDescent="0.2">
      <c r="A14" s="42"/>
      <c r="B14" s="433"/>
      <c r="C14" s="434"/>
      <c r="D14" s="75"/>
      <c r="E14" s="75"/>
      <c r="F14" s="75"/>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2"/>
    </row>
    <row r="15" spans="1:49" x14ac:dyDescent="0.2">
      <c r="A15" s="42"/>
      <c r="B15" s="433"/>
      <c r="C15" s="434"/>
      <c r="D15" s="75"/>
      <c r="E15" s="75"/>
      <c r="F15" s="75"/>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42"/>
    </row>
    <row r="16" spans="1:49" x14ac:dyDescent="0.2">
      <c r="A16" s="42"/>
      <c r="B16" s="433"/>
      <c r="C16" s="434"/>
      <c r="D16" s="75"/>
      <c r="E16" s="75"/>
      <c r="F16" s="75"/>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42"/>
    </row>
    <row r="17" spans="1:49" x14ac:dyDescent="0.2">
      <c r="A17" s="42"/>
      <c r="B17" s="433"/>
      <c r="C17" s="434"/>
      <c r="D17" s="75"/>
      <c r="E17" s="75"/>
      <c r="F17" s="75"/>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42"/>
    </row>
    <row r="18" spans="1:49" x14ac:dyDescent="0.2">
      <c r="A18" s="42"/>
      <c r="B18" s="433"/>
      <c r="C18" s="434"/>
      <c r="D18" s="75"/>
      <c r="E18" s="75"/>
      <c r="F18" s="75"/>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42"/>
    </row>
    <row r="19" spans="1:49" x14ac:dyDescent="0.2">
      <c r="A19" s="42"/>
      <c r="B19" s="435"/>
      <c r="C19" s="436"/>
      <c r="D19" s="76"/>
      <c r="E19" s="76"/>
      <c r="F19" s="76"/>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42"/>
    </row>
    <row r="20" spans="1:49" x14ac:dyDescent="0.2">
      <c r="A20" s="42"/>
      <c r="B20" s="472" t="s">
        <v>132</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4"/>
      <c r="AW20" s="42"/>
    </row>
    <row r="21" spans="1:49" x14ac:dyDescent="0.2">
      <c r="A21" s="42"/>
      <c r="B21" s="475"/>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7"/>
      <c r="AW21" s="42"/>
    </row>
    <row r="22" spans="1:49" x14ac:dyDescent="0.2">
      <c r="A22" s="42"/>
      <c r="B22" s="431">
        <v>2</v>
      </c>
      <c r="C22" s="432"/>
      <c r="D22" s="74"/>
      <c r="E22" s="74"/>
      <c r="F22" s="74"/>
      <c r="G22" s="243" t="s">
        <v>71</v>
      </c>
      <c r="H22" s="449"/>
      <c r="I22" s="449"/>
      <c r="J22" s="449"/>
      <c r="K22" s="449"/>
      <c r="L22" s="449"/>
      <c r="M22" s="449"/>
      <c r="N22" s="449"/>
      <c r="O22" s="449"/>
      <c r="P22" s="449"/>
      <c r="Q22" s="449"/>
      <c r="R22" s="449"/>
      <c r="S22" s="449"/>
      <c r="T22" s="449"/>
      <c r="U22" s="449"/>
      <c r="V22" s="449"/>
      <c r="W22" s="449"/>
      <c r="X22" s="450"/>
      <c r="Y22" s="243"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42"/>
    </row>
    <row r="23" spans="1:49" x14ac:dyDescent="0.2">
      <c r="A23" s="42"/>
      <c r="B23" s="433"/>
      <c r="C23" s="434"/>
      <c r="D23" s="75"/>
      <c r="E23" s="75"/>
      <c r="F23" s="75"/>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42"/>
    </row>
    <row r="24" spans="1:49" x14ac:dyDescent="0.2">
      <c r="A24" s="42"/>
      <c r="B24" s="433"/>
      <c r="C24" s="434"/>
      <c r="D24" s="75"/>
      <c r="E24" s="75"/>
      <c r="F24" s="75"/>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42"/>
    </row>
    <row r="25" spans="1:49" x14ac:dyDescent="0.2">
      <c r="A25" s="42"/>
      <c r="B25" s="433"/>
      <c r="C25" s="434"/>
      <c r="D25" s="75"/>
      <c r="E25" s="75"/>
      <c r="F25" s="75"/>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42"/>
    </row>
    <row r="26" spans="1:49" x14ac:dyDescent="0.2">
      <c r="A26" s="42"/>
      <c r="B26" s="433"/>
      <c r="C26" s="434"/>
      <c r="D26" s="75"/>
      <c r="E26" s="75"/>
      <c r="F26" s="75"/>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42"/>
    </row>
    <row r="27" spans="1:49" x14ac:dyDescent="0.2">
      <c r="A27" s="42"/>
      <c r="B27" s="433"/>
      <c r="C27" s="434"/>
      <c r="D27" s="75"/>
      <c r="E27" s="75"/>
      <c r="F27" s="75"/>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42"/>
    </row>
    <row r="28" spans="1:49" x14ac:dyDescent="0.2">
      <c r="A28" s="42"/>
      <c r="B28" s="435"/>
      <c r="C28" s="436"/>
      <c r="D28" s="76"/>
      <c r="E28" s="76"/>
      <c r="F28" s="76"/>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42"/>
    </row>
    <row r="29" spans="1:49" x14ac:dyDescent="0.2">
      <c r="A29" s="42"/>
      <c r="B29" s="431">
        <v>3</v>
      </c>
      <c r="C29" s="432"/>
      <c r="D29" s="74"/>
      <c r="E29" s="74"/>
      <c r="F29" s="74"/>
      <c r="G29" s="243" t="s">
        <v>218</v>
      </c>
      <c r="H29" s="449"/>
      <c r="I29" s="449"/>
      <c r="J29" s="449"/>
      <c r="K29" s="449"/>
      <c r="L29" s="449"/>
      <c r="M29" s="449"/>
      <c r="N29" s="449"/>
      <c r="O29" s="449"/>
      <c r="P29" s="449"/>
      <c r="Q29" s="449"/>
      <c r="R29" s="449"/>
      <c r="S29" s="449"/>
      <c r="T29" s="449"/>
      <c r="U29" s="449"/>
      <c r="V29" s="449"/>
      <c r="W29" s="449"/>
      <c r="X29" s="450"/>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x14ac:dyDescent="0.2">
      <c r="A30" s="42"/>
      <c r="B30" s="433"/>
      <c r="C30" s="434"/>
      <c r="D30" s="75"/>
      <c r="E30" s="75"/>
      <c r="F30" s="75"/>
      <c r="G30" s="451"/>
      <c r="H30" s="452"/>
      <c r="I30" s="452"/>
      <c r="J30" s="452"/>
      <c r="K30" s="452"/>
      <c r="L30" s="452"/>
      <c r="M30" s="452"/>
      <c r="N30" s="452"/>
      <c r="O30" s="452"/>
      <c r="P30" s="452"/>
      <c r="Q30" s="452"/>
      <c r="R30" s="452"/>
      <c r="S30" s="452"/>
      <c r="T30" s="452"/>
      <c r="U30" s="452"/>
      <c r="V30" s="452"/>
      <c r="W30" s="452"/>
      <c r="X30" s="453"/>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x14ac:dyDescent="0.2">
      <c r="A31" s="42"/>
      <c r="B31" s="433"/>
      <c r="C31" s="434"/>
      <c r="D31" s="75"/>
      <c r="E31" s="75"/>
      <c r="F31" s="75"/>
      <c r="G31" s="451"/>
      <c r="H31" s="452"/>
      <c r="I31" s="452"/>
      <c r="J31" s="452"/>
      <c r="K31" s="452"/>
      <c r="L31" s="452"/>
      <c r="M31" s="452"/>
      <c r="N31" s="452"/>
      <c r="O31" s="452"/>
      <c r="P31" s="452"/>
      <c r="Q31" s="452"/>
      <c r="R31" s="452"/>
      <c r="S31" s="452"/>
      <c r="T31" s="452"/>
      <c r="U31" s="452"/>
      <c r="V31" s="452"/>
      <c r="W31" s="452"/>
      <c r="X31" s="453"/>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x14ac:dyDescent="0.2">
      <c r="A32" s="42"/>
      <c r="B32" s="433"/>
      <c r="C32" s="434"/>
      <c r="D32" s="75"/>
      <c r="E32" s="75"/>
      <c r="F32" s="75"/>
      <c r="G32" s="451"/>
      <c r="H32" s="452"/>
      <c r="I32" s="452"/>
      <c r="J32" s="452"/>
      <c r="K32" s="452"/>
      <c r="L32" s="452"/>
      <c r="M32" s="452"/>
      <c r="N32" s="452"/>
      <c r="O32" s="452"/>
      <c r="P32" s="452"/>
      <c r="Q32" s="452"/>
      <c r="R32" s="452"/>
      <c r="S32" s="452"/>
      <c r="T32" s="452"/>
      <c r="U32" s="452"/>
      <c r="V32" s="452"/>
      <c r="W32" s="452"/>
      <c r="X32" s="453"/>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x14ac:dyDescent="0.2">
      <c r="A33" s="42"/>
      <c r="B33" s="433"/>
      <c r="C33" s="434"/>
      <c r="D33" s="75"/>
      <c r="E33" s="75"/>
      <c r="F33" s="75"/>
      <c r="G33" s="451"/>
      <c r="H33" s="452"/>
      <c r="I33" s="452"/>
      <c r="J33" s="452"/>
      <c r="K33" s="452"/>
      <c r="L33" s="452"/>
      <c r="M33" s="452"/>
      <c r="N33" s="452"/>
      <c r="O33" s="452"/>
      <c r="P33" s="452"/>
      <c r="Q33" s="452"/>
      <c r="R33" s="452"/>
      <c r="S33" s="452"/>
      <c r="T33" s="452"/>
      <c r="U33" s="452"/>
      <c r="V33" s="452"/>
      <c r="W33" s="452"/>
      <c r="X33" s="453"/>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x14ac:dyDescent="0.2">
      <c r="A34" s="42"/>
      <c r="B34" s="433"/>
      <c r="C34" s="434"/>
      <c r="D34" s="75"/>
      <c r="E34" s="75"/>
      <c r="F34" s="75"/>
      <c r="G34" s="451"/>
      <c r="H34" s="452"/>
      <c r="I34" s="452"/>
      <c r="J34" s="452"/>
      <c r="K34" s="452"/>
      <c r="L34" s="452"/>
      <c r="M34" s="452"/>
      <c r="N34" s="452"/>
      <c r="O34" s="452"/>
      <c r="P34" s="452"/>
      <c r="Q34" s="452"/>
      <c r="R34" s="452"/>
      <c r="S34" s="452"/>
      <c r="T34" s="452"/>
      <c r="U34" s="452"/>
      <c r="V34" s="452"/>
      <c r="W34" s="452"/>
      <c r="X34" s="453"/>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x14ac:dyDescent="0.2">
      <c r="A35" s="42"/>
      <c r="B35" s="435"/>
      <c r="C35" s="436"/>
      <c r="D35" s="76"/>
      <c r="E35" s="76"/>
      <c r="F35" s="76"/>
      <c r="G35" s="454"/>
      <c r="H35" s="455"/>
      <c r="I35" s="455"/>
      <c r="J35" s="455"/>
      <c r="K35" s="455"/>
      <c r="L35" s="455"/>
      <c r="M35" s="455"/>
      <c r="N35" s="455"/>
      <c r="O35" s="455"/>
      <c r="P35" s="455"/>
      <c r="Q35" s="455"/>
      <c r="R35" s="455"/>
      <c r="S35" s="455"/>
      <c r="T35" s="455"/>
      <c r="U35" s="455"/>
      <c r="V35" s="455"/>
      <c r="W35" s="455"/>
      <c r="X35" s="456"/>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x14ac:dyDescent="0.2">
      <c r="A36" s="42"/>
      <c r="B36" s="431">
        <v>4</v>
      </c>
      <c r="C36" s="432"/>
      <c r="D36" s="74"/>
      <c r="E36" s="74"/>
      <c r="F36" s="74"/>
      <c r="G36" s="243" t="s">
        <v>182</v>
      </c>
      <c r="H36" s="449"/>
      <c r="I36" s="449"/>
      <c r="J36" s="449"/>
      <c r="K36" s="449"/>
      <c r="L36" s="449"/>
      <c r="M36" s="449"/>
      <c r="N36" s="449"/>
      <c r="O36" s="449"/>
      <c r="P36" s="449"/>
      <c r="Q36" s="449"/>
      <c r="R36" s="449"/>
      <c r="S36" s="449"/>
      <c r="T36" s="449"/>
      <c r="U36" s="449"/>
      <c r="V36" s="449"/>
      <c r="W36" s="449"/>
      <c r="X36" s="450"/>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x14ac:dyDescent="0.2">
      <c r="A37" s="42"/>
      <c r="B37" s="433"/>
      <c r="C37" s="434"/>
      <c r="D37" s="75"/>
      <c r="E37" s="75"/>
      <c r="F37" s="75"/>
      <c r="G37" s="451"/>
      <c r="H37" s="452"/>
      <c r="I37" s="452"/>
      <c r="J37" s="452"/>
      <c r="K37" s="452"/>
      <c r="L37" s="452"/>
      <c r="M37" s="452"/>
      <c r="N37" s="452"/>
      <c r="O37" s="452"/>
      <c r="P37" s="452"/>
      <c r="Q37" s="452"/>
      <c r="R37" s="452"/>
      <c r="S37" s="452"/>
      <c r="T37" s="452"/>
      <c r="U37" s="452"/>
      <c r="V37" s="452"/>
      <c r="W37" s="452"/>
      <c r="X37" s="453"/>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x14ac:dyDescent="0.2">
      <c r="A38" s="42"/>
      <c r="B38" s="433"/>
      <c r="C38" s="434"/>
      <c r="D38" s="75"/>
      <c r="E38" s="75"/>
      <c r="F38" s="75"/>
      <c r="G38" s="451"/>
      <c r="H38" s="452"/>
      <c r="I38" s="452"/>
      <c r="J38" s="452"/>
      <c r="K38" s="452"/>
      <c r="L38" s="452"/>
      <c r="M38" s="452"/>
      <c r="N38" s="452"/>
      <c r="O38" s="452"/>
      <c r="P38" s="452"/>
      <c r="Q38" s="452"/>
      <c r="R38" s="452"/>
      <c r="S38" s="452"/>
      <c r="T38" s="452"/>
      <c r="U38" s="452"/>
      <c r="V38" s="452"/>
      <c r="W38" s="452"/>
      <c r="X38" s="453"/>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x14ac:dyDescent="0.2">
      <c r="A39" s="42"/>
      <c r="B39" s="433"/>
      <c r="C39" s="434"/>
      <c r="D39" s="75"/>
      <c r="E39" s="75"/>
      <c r="F39" s="75"/>
      <c r="G39" s="451"/>
      <c r="H39" s="452"/>
      <c r="I39" s="452"/>
      <c r="J39" s="452"/>
      <c r="K39" s="452"/>
      <c r="L39" s="452"/>
      <c r="M39" s="452"/>
      <c r="N39" s="452"/>
      <c r="O39" s="452"/>
      <c r="P39" s="452"/>
      <c r="Q39" s="452"/>
      <c r="R39" s="452"/>
      <c r="S39" s="452"/>
      <c r="T39" s="452"/>
      <c r="U39" s="452"/>
      <c r="V39" s="452"/>
      <c r="W39" s="452"/>
      <c r="X39" s="453"/>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x14ac:dyDescent="0.2">
      <c r="A40" s="42"/>
      <c r="B40" s="433"/>
      <c r="C40" s="434"/>
      <c r="D40" s="75"/>
      <c r="E40" s="75"/>
      <c r="F40" s="75"/>
      <c r="G40" s="451"/>
      <c r="H40" s="452"/>
      <c r="I40" s="452"/>
      <c r="J40" s="452"/>
      <c r="K40" s="452"/>
      <c r="L40" s="452"/>
      <c r="M40" s="452"/>
      <c r="N40" s="452"/>
      <c r="O40" s="452"/>
      <c r="P40" s="452"/>
      <c r="Q40" s="452"/>
      <c r="R40" s="452"/>
      <c r="S40" s="452"/>
      <c r="T40" s="452"/>
      <c r="U40" s="452"/>
      <c r="V40" s="452"/>
      <c r="W40" s="452"/>
      <c r="X40" s="453"/>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x14ac:dyDescent="0.2">
      <c r="A41" s="42"/>
      <c r="B41" s="435"/>
      <c r="C41" s="436"/>
      <c r="D41" s="76"/>
      <c r="E41" s="76"/>
      <c r="F41" s="76"/>
      <c r="G41" s="454"/>
      <c r="H41" s="455"/>
      <c r="I41" s="455"/>
      <c r="J41" s="455"/>
      <c r="K41" s="455"/>
      <c r="L41" s="455"/>
      <c r="M41" s="455"/>
      <c r="N41" s="455"/>
      <c r="O41" s="455"/>
      <c r="P41" s="455"/>
      <c r="Q41" s="455"/>
      <c r="R41" s="455"/>
      <c r="S41" s="455"/>
      <c r="T41" s="455"/>
      <c r="U41" s="455"/>
      <c r="V41" s="455"/>
      <c r="W41" s="455"/>
      <c r="X41" s="456"/>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x14ac:dyDescent="0.2">
      <c r="A42" s="42"/>
      <c r="B42" s="472" t="s">
        <v>134</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4"/>
      <c r="AW42" s="42"/>
    </row>
    <row r="43" spans="1:49" x14ac:dyDescent="0.2">
      <c r="A43" s="42"/>
      <c r="B43" s="475"/>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7"/>
      <c r="AW43" s="42"/>
    </row>
    <row r="44" spans="1:49" ht="12" customHeight="1" x14ac:dyDescent="0.2">
      <c r="A44" s="42"/>
      <c r="B44" s="431">
        <v>5</v>
      </c>
      <c r="C44" s="432"/>
      <c r="D44" s="74"/>
      <c r="E44" s="74"/>
      <c r="F44" s="74"/>
      <c r="G44" s="440" t="s">
        <v>72</v>
      </c>
      <c r="H44" s="441"/>
      <c r="I44" s="441"/>
      <c r="J44" s="441"/>
      <c r="K44" s="441"/>
      <c r="L44" s="441"/>
      <c r="M44" s="441"/>
      <c r="N44" s="441"/>
      <c r="O44" s="441"/>
      <c r="P44" s="441"/>
      <c r="Q44" s="441"/>
      <c r="R44" s="441"/>
      <c r="S44" s="441"/>
      <c r="T44" s="441"/>
      <c r="U44" s="441"/>
      <c r="V44" s="441"/>
      <c r="W44" s="441"/>
      <c r="X44" s="442"/>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x14ac:dyDescent="0.2">
      <c r="A45" s="42"/>
      <c r="B45" s="433"/>
      <c r="C45" s="434"/>
      <c r="D45" s="75"/>
      <c r="E45" s="75"/>
      <c r="F45" s="75"/>
      <c r="G45" s="443"/>
      <c r="H45" s="444"/>
      <c r="I45" s="444"/>
      <c r="J45" s="444"/>
      <c r="K45" s="444"/>
      <c r="L45" s="444"/>
      <c r="M45" s="444"/>
      <c r="N45" s="444"/>
      <c r="O45" s="444"/>
      <c r="P45" s="444"/>
      <c r="Q45" s="444"/>
      <c r="R45" s="444"/>
      <c r="S45" s="444"/>
      <c r="T45" s="444"/>
      <c r="U45" s="444"/>
      <c r="V45" s="444"/>
      <c r="W45" s="444"/>
      <c r="X45" s="445"/>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x14ac:dyDescent="0.2">
      <c r="A46" s="42"/>
      <c r="B46" s="435"/>
      <c r="C46" s="436"/>
      <c r="D46" s="76"/>
      <c r="E46" s="76"/>
      <c r="F46" s="76"/>
      <c r="G46" s="446"/>
      <c r="H46" s="447"/>
      <c r="I46" s="447"/>
      <c r="J46" s="447"/>
      <c r="K46" s="447"/>
      <c r="L46" s="447"/>
      <c r="M46" s="447"/>
      <c r="N46" s="447"/>
      <c r="O46" s="447"/>
      <c r="P46" s="447"/>
      <c r="Q46" s="447"/>
      <c r="R46" s="447"/>
      <c r="S46" s="447"/>
      <c r="T46" s="447"/>
      <c r="U46" s="447"/>
      <c r="V46" s="447"/>
      <c r="W46" s="447"/>
      <c r="X46" s="448"/>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x14ac:dyDescent="0.2">
      <c r="A47" s="42"/>
      <c r="B47" s="472" t="s">
        <v>79</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4"/>
      <c r="AW47" s="42"/>
    </row>
    <row r="48" spans="1:49" x14ac:dyDescent="0.2">
      <c r="A48" s="42"/>
      <c r="B48" s="475"/>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7"/>
      <c r="AW48" s="42"/>
    </row>
    <row r="49" spans="1:49" x14ac:dyDescent="0.2">
      <c r="A49" s="42"/>
      <c r="B49" s="433">
        <v>6</v>
      </c>
      <c r="C49" s="434"/>
      <c r="D49" s="75"/>
      <c r="E49" s="75"/>
      <c r="F49" s="75"/>
      <c r="G49" s="451" t="s">
        <v>78</v>
      </c>
      <c r="H49" s="452"/>
      <c r="I49" s="452"/>
      <c r="J49" s="452"/>
      <c r="K49" s="452"/>
      <c r="L49" s="452"/>
      <c r="M49" s="452"/>
      <c r="N49" s="452"/>
      <c r="O49" s="452"/>
      <c r="P49" s="452"/>
      <c r="Q49" s="452"/>
      <c r="R49" s="452"/>
      <c r="S49" s="452"/>
      <c r="T49" s="452"/>
      <c r="U49" s="452"/>
      <c r="V49" s="452"/>
      <c r="W49" s="452"/>
      <c r="X49" s="453"/>
      <c r="Y49" s="451" t="s">
        <v>77</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42"/>
    </row>
    <row r="50" spans="1:49" x14ac:dyDescent="0.2">
      <c r="A50" s="42"/>
      <c r="B50" s="433"/>
      <c r="C50" s="434"/>
      <c r="D50" s="75"/>
      <c r="E50" s="75"/>
      <c r="F50" s="75"/>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42"/>
    </row>
    <row r="51" spans="1:49" x14ac:dyDescent="0.2">
      <c r="A51" s="42"/>
      <c r="B51" s="435"/>
      <c r="C51" s="436"/>
      <c r="D51" s="76"/>
      <c r="E51" s="76"/>
      <c r="F51" s="76"/>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42"/>
    </row>
    <row r="52" spans="1:49" x14ac:dyDescent="0.2">
      <c r="A52" s="42"/>
      <c r="B52" s="431">
        <v>7</v>
      </c>
      <c r="C52" s="432"/>
      <c r="D52" s="74"/>
      <c r="E52" s="74"/>
      <c r="F52" s="74"/>
      <c r="G52" s="243" t="s">
        <v>76</v>
      </c>
      <c r="H52" s="449"/>
      <c r="I52" s="449"/>
      <c r="J52" s="449"/>
      <c r="K52" s="449"/>
      <c r="L52" s="449"/>
      <c r="M52" s="449"/>
      <c r="N52" s="449"/>
      <c r="O52" s="449"/>
      <c r="P52" s="449"/>
      <c r="Q52" s="449"/>
      <c r="R52" s="449"/>
      <c r="S52" s="449"/>
      <c r="T52" s="449"/>
      <c r="U52" s="449"/>
      <c r="V52" s="449"/>
      <c r="W52" s="449"/>
      <c r="X52" s="450"/>
      <c r="Y52" s="243" t="s">
        <v>75</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42"/>
    </row>
    <row r="53" spans="1:49" x14ac:dyDescent="0.2">
      <c r="A53" s="42"/>
      <c r="B53" s="433"/>
      <c r="C53" s="434"/>
      <c r="D53" s="75"/>
      <c r="E53" s="75"/>
      <c r="F53" s="75"/>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42"/>
    </row>
    <row r="54" spans="1:49" x14ac:dyDescent="0.2">
      <c r="A54" s="42"/>
      <c r="B54" s="435"/>
      <c r="C54" s="436"/>
      <c r="D54" s="76"/>
      <c r="E54" s="76"/>
      <c r="F54" s="76"/>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42"/>
    </row>
    <row r="55" spans="1:49" x14ac:dyDescent="0.2">
      <c r="A55" s="42"/>
      <c r="B55" s="431">
        <v>8</v>
      </c>
      <c r="C55" s="432"/>
      <c r="D55" s="74"/>
      <c r="E55" s="74"/>
      <c r="F55" s="74"/>
      <c r="G55" s="440" t="s">
        <v>74</v>
      </c>
      <c r="H55" s="441"/>
      <c r="I55" s="441"/>
      <c r="J55" s="441"/>
      <c r="K55" s="441"/>
      <c r="L55" s="441"/>
      <c r="M55" s="441"/>
      <c r="N55" s="441"/>
      <c r="O55" s="441"/>
      <c r="P55" s="441"/>
      <c r="Q55" s="441"/>
      <c r="R55" s="441"/>
      <c r="S55" s="441"/>
      <c r="T55" s="441"/>
      <c r="U55" s="441"/>
      <c r="V55" s="441"/>
      <c r="W55" s="441"/>
      <c r="X55" s="442"/>
      <c r="Y55" s="243" t="s">
        <v>136</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42"/>
    </row>
    <row r="56" spans="1:49" x14ac:dyDescent="0.2">
      <c r="A56" s="42"/>
      <c r="B56" s="433"/>
      <c r="C56" s="434"/>
      <c r="D56" s="75"/>
      <c r="E56" s="75"/>
      <c r="F56" s="75"/>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42"/>
    </row>
    <row r="57" spans="1:49" x14ac:dyDescent="0.2">
      <c r="A57" s="42"/>
      <c r="B57" s="435"/>
      <c r="C57" s="436"/>
      <c r="D57" s="76"/>
      <c r="E57" s="76"/>
      <c r="F57" s="76"/>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42"/>
    </row>
    <row r="58" spans="1:49" x14ac:dyDescent="0.2">
      <c r="A58" s="42"/>
      <c r="B58" s="431">
        <v>9</v>
      </c>
      <c r="C58" s="432"/>
      <c r="D58" s="74"/>
      <c r="E58" s="74"/>
      <c r="F58" s="74"/>
      <c r="G58" s="440" t="s">
        <v>108</v>
      </c>
      <c r="H58" s="441"/>
      <c r="I58" s="441"/>
      <c r="J58" s="441"/>
      <c r="K58" s="441"/>
      <c r="L58" s="441"/>
      <c r="M58" s="441"/>
      <c r="N58" s="441"/>
      <c r="O58" s="441"/>
      <c r="P58" s="441"/>
      <c r="Q58" s="441"/>
      <c r="R58" s="441"/>
      <c r="S58" s="441"/>
      <c r="T58" s="441"/>
      <c r="U58" s="441"/>
      <c r="V58" s="441"/>
      <c r="W58" s="441"/>
      <c r="X58" s="442"/>
      <c r="Y58" s="243" t="s">
        <v>73</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42"/>
    </row>
    <row r="59" spans="1:49" x14ac:dyDescent="0.2">
      <c r="A59" s="42"/>
      <c r="B59" s="433"/>
      <c r="C59" s="434"/>
      <c r="D59" s="75"/>
      <c r="E59" s="75"/>
      <c r="F59" s="75"/>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42"/>
    </row>
    <row r="60" spans="1:49" x14ac:dyDescent="0.2">
      <c r="A60" s="42"/>
      <c r="B60" s="433"/>
      <c r="C60" s="434"/>
      <c r="D60" s="75"/>
      <c r="E60" s="75"/>
      <c r="F60" s="75"/>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42"/>
    </row>
    <row r="61" spans="1:49" x14ac:dyDescent="0.2">
      <c r="A61" s="42"/>
      <c r="B61" s="435"/>
      <c r="C61" s="436"/>
      <c r="D61" s="76"/>
      <c r="E61" s="76"/>
      <c r="F61" s="76"/>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42"/>
    </row>
    <row r="62" spans="1:49" x14ac:dyDescent="0.2">
      <c r="A62" s="42"/>
      <c r="B62" s="431">
        <v>10</v>
      </c>
      <c r="C62" s="432"/>
      <c r="D62" s="74"/>
      <c r="E62" s="74"/>
      <c r="F62" s="74"/>
      <c r="G62" s="440" t="s">
        <v>137</v>
      </c>
      <c r="H62" s="441"/>
      <c r="I62" s="441"/>
      <c r="J62" s="441"/>
      <c r="K62" s="441"/>
      <c r="L62" s="441"/>
      <c r="M62" s="441"/>
      <c r="N62" s="441"/>
      <c r="O62" s="441"/>
      <c r="P62" s="441"/>
      <c r="Q62" s="441"/>
      <c r="R62" s="441"/>
      <c r="S62" s="441"/>
      <c r="T62" s="441"/>
      <c r="U62" s="441"/>
      <c r="V62" s="441"/>
      <c r="W62" s="441"/>
      <c r="X62" s="442"/>
      <c r="Y62" s="243" t="s">
        <v>138</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42"/>
    </row>
    <row r="63" spans="1:49" x14ac:dyDescent="0.2">
      <c r="A63" s="42"/>
      <c r="B63" s="433"/>
      <c r="C63" s="434"/>
      <c r="D63" s="75"/>
      <c r="E63" s="75"/>
      <c r="F63" s="75"/>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42"/>
    </row>
    <row r="64" spans="1:49" x14ac:dyDescent="0.2">
      <c r="A64" s="42"/>
      <c r="B64" s="433"/>
      <c r="C64" s="434"/>
      <c r="D64" s="75"/>
      <c r="E64" s="75"/>
      <c r="F64" s="75"/>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42"/>
    </row>
    <row r="65" spans="1:49" x14ac:dyDescent="0.2">
      <c r="A65" s="42"/>
      <c r="B65" s="435"/>
      <c r="C65" s="436"/>
      <c r="D65" s="76"/>
      <c r="E65" s="76"/>
      <c r="F65" s="76"/>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42"/>
    </row>
    <row r="66" spans="1:49"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x14ac:dyDescent="0.2">
      <c r="A68" s="457" t="s">
        <v>69</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x14ac:dyDescent="0.2">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x14ac:dyDescent="0.2">
      <c r="A70" s="244" t="str">
        <f>"【"&amp;製品カテゴリ&amp;"】"</f>
        <v>【自動ダボ穴加工機】</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42"/>
      <c r="Z70" s="42"/>
      <c r="AA70" s="42"/>
      <c r="AB70" s="42"/>
      <c r="AC70" s="42"/>
      <c r="AD70" s="42"/>
      <c r="AE70" s="42"/>
      <c r="AF70" s="42"/>
      <c r="AG70" s="42"/>
      <c r="AH70" s="42"/>
      <c r="AI70" s="42"/>
      <c r="AJ70" s="42"/>
      <c r="AK70" s="42"/>
      <c r="AL70" s="42"/>
      <c r="AM70" s="42"/>
      <c r="AN70" s="42"/>
      <c r="AO70" s="42"/>
      <c r="AP70" s="42"/>
      <c r="AQ70" s="42"/>
      <c r="AR70" s="42"/>
      <c r="AS70" s="262" t="s">
        <v>33</v>
      </c>
      <c r="AT70" s="262"/>
      <c r="AU70" s="262"/>
      <c r="AV70" s="262"/>
      <c r="AW70" s="262"/>
    </row>
    <row r="71" spans="1:49" x14ac:dyDescent="0.2">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63"/>
      <c r="AT71" s="263"/>
      <c r="AU71" s="263"/>
      <c r="AV71" s="263"/>
      <c r="AW71" s="263"/>
    </row>
    <row r="72" spans="1:49" x14ac:dyDescent="0.2">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x14ac:dyDescent="0.2">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x14ac:dyDescent="0.2">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x14ac:dyDescent="0.2">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x14ac:dyDescent="0.2">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x14ac:dyDescent="0.2">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x14ac:dyDescent="0.2">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x14ac:dyDescent="0.2">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x14ac:dyDescent="0.2">
      <c r="A80" s="42"/>
      <c r="B80" s="439" t="s">
        <v>64</v>
      </c>
      <c r="C80" s="439"/>
      <c r="D80" s="304" t="s">
        <v>63</v>
      </c>
      <c r="E80" s="305"/>
      <c r="F80" s="314"/>
      <c r="G80" s="439" t="s">
        <v>62</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2"/>
      <c r="AM80" s="42"/>
      <c r="AN80" s="42"/>
      <c r="AO80" s="42"/>
      <c r="AP80" s="42"/>
      <c r="AQ80" s="42"/>
      <c r="AR80" s="42"/>
      <c r="AS80" s="42"/>
      <c r="AT80" s="42"/>
      <c r="AU80" s="42"/>
      <c r="AV80" s="42"/>
      <c r="AW80" s="42"/>
    </row>
    <row r="81" spans="1:49" x14ac:dyDescent="0.2">
      <c r="A81" s="42"/>
      <c r="B81" s="439"/>
      <c r="C81" s="439"/>
      <c r="D81" s="306"/>
      <c r="E81" s="307"/>
      <c r="F81" s="315"/>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2"/>
      <c r="AM81" s="42"/>
      <c r="AN81" s="42"/>
      <c r="AO81" s="42"/>
      <c r="AP81" s="42"/>
      <c r="AQ81" s="42"/>
      <c r="AR81" s="42"/>
      <c r="AS81" s="42"/>
      <c r="AT81" s="42"/>
      <c r="AU81" s="42"/>
      <c r="AV81" s="42"/>
      <c r="AW81" s="42"/>
    </row>
    <row r="82" spans="1:49" ht="12" customHeight="1" x14ac:dyDescent="0.2">
      <c r="A82" s="42"/>
      <c r="B82" s="433">
        <v>1</v>
      </c>
      <c r="C82" s="434"/>
      <c r="D82" s="75"/>
      <c r="E82" s="75"/>
      <c r="F82" s="75"/>
      <c r="G82" s="438" t="s">
        <v>59</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2"/>
      <c r="AM82" s="42"/>
      <c r="AN82" s="42"/>
      <c r="AO82" s="42"/>
      <c r="AP82" s="42"/>
      <c r="AQ82" s="42"/>
      <c r="AR82" s="42"/>
      <c r="AS82" s="42"/>
      <c r="AT82" s="42"/>
      <c r="AU82" s="42"/>
      <c r="AV82" s="42"/>
      <c r="AW82" s="42"/>
    </row>
    <row r="83" spans="1:49" x14ac:dyDescent="0.2">
      <c r="A83" s="42"/>
      <c r="B83" s="433"/>
      <c r="C83" s="434"/>
      <c r="D83" s="75"/>
      <c r="E83" s="75"/>
      <c r="F83" s="75"/>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2"/>
      <c r="AM83" s="42"/>
      <c r="AN83" s="42"/>
      <c r="AO83" s="42"/>
      <c r="AP83" s="42"/>
      <c r="AQ83" s="42"/>
      <c r="AR83" s="42"/>
      <c r="AS83" s="42"/>
      <c r="AT83" s="42"/>
      <c r="AU83" s="42"/>
      <c r="AV83" s="42"/>
      <c r="AW83" s="42"/>
    </row>
    <row r="84" spans="1:49" x14ac:dyDescent="0.2">
      <c r="A84" s="42"/>
      <c r="B84" s="435"/>
      <c r="C84" s="436"/>
      <c r="D84" s="76"/>
      <c r="E84" s="76"/>
      <c r="F84" s="76"/>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2"/>
      <c r="AM84" s="42"/>
      <c r="AN84" s="42"/>
      <c r="AO84" s="42"/>
      <c r="AP84" s="42"/>
      <c r="AQ84" s="42"/>
      <c r="AR84" s="42"/>
      <c r="AS84" s="42"/>
      <c r="AT84" s="42"/>
      <c r="AU84" s="42"/>
      <c r="AV84" s="42"/>
      <c r="AW84" s="42"/>
    </row>
    <row r="85" spans="1:49" x14ac:dyDescent="0.2">
      <c r="A85" s="42"/>
      <c r="B85" s="431">
        <v>2</v>
      </c>
      <c r="C85" s="432"/>
      <c r="D85" s="74"/>
      <c r="E85" s="74"/>
      <c r="F85" s="74"/>
      <c r="G85" s="438" t="s">
        <v>61</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2"/>
      <c r="AM85" s="42"/>
      <c r="AN85" s="42"/>
      <c r="AO85" s="42"/>
      <c r="AP85" s="42"/>
      <c r="AQ85" s="42"/>
      <c r="AR85" s="42"/>
      <c r="AS85" s="42"/>
      <c r="AT85" s="42"/>
      <c r="AU85" s="42"/>
      <c r="AV85" s="42"/>
      <c r="AW85" s="42"/>
    </row>
    <row r="86" spans="1:49" x14ac:dyDescent="0.2">
      <c r="A86" s="42"/>
      <c r="B86" s="433"/>
      <c r="C86" s="434"/>
      <c r="D86" s="75"/>
      <c r="E86" s="75"/>
      <c r="F86" s="75"/>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2"/>
      <c r="AM86" s="42"/>
      <c r="AN86" s="42"/>
      <c r="AO86" s="42"/>
      <c r="AP86" s="42"/>
      <c r="AQ86" s="42"/>
      <c r="AR86" s="42"/>
      <c r="AS86" s="42"/>
      <c r="AT86" s="42"/>
      <c r="AU86" s="42"/>
      <c r="AV86" s="42"/>
      <c r="AW86" s="42"/>
    </row>
    <row r="87" spans="1:49" x14ac:dyDescent="0.2">
      <c r="A87" s="42"/>
      <c r="B87" s="435"/>
      <c r="C87" s="436"/>
      <c r="D87" s="76"/>
      <c r="E87" s="76"/>
      <c r="F87" s="76"/>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2"/>
      <c r="AM87" s="42"/>
      <c r="AN87" s="42"/>
      <c r="AO87" s="42"/>
      <c r="AP87" s="42"/>
      <c r="AQ87" s="42"/>
      <c r="AR87" s="42"/>
      <c r="AS87" s="42"/>
      <c r="AT87" s="42"/>
      <c r="AU87" s="42"/>
      <c r="AV87" s="42"/>
      <c r="AW87" s="42"/>
    </row>
    <row r="88" spans="1:49" x14ac:dyDescent="0.2">
      <c r="A88" s="42"/>
      <c r="B88" s="431">
        <v>3</v>
      </c>
      <c r="C88" s="432"/>
      <c r="D88" s="74"/>
      <c r="E88" s="74"/>
      <c r="F88" s="74"/>
      <c r="G88" s="438" t="s">
        <v>60</v>
      </c>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2"/>
      <c r="AM88" s="42"/>
      <c r="AN88" s="42"/>
      <c r="AO88" s="42"/>
      <c r="AP88" s="42"/>
      <c r="AQ88" s="42"/>
      <c r="AR88" s="42"/>
      <c r="AS88" s="42"/>
      <c r="AT88" s="42"/>
      <c r="AU88" s="42"/>
      <c r="AV88" s="42"/>
      <c r="AW88" s="42"/>
    </row>
    <row r="89" spans="1:49" x14ac:dyDescent="0.2">
      <c r="A89" s="42"/>
      <c r="B89" s="433"/>
      <c r="C89" s="434"/>
      <c r="D89" s="75"/>
      <c r="E89" s="75"/>
      <c r="F89" s="75"/>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2"/>
      <c r="AM89" s="42"/>
      <c r="AN89" s="42"/>
      <c r="AO89" s="42"/>
      <c r="AP89" s="42"/>
      <c r="AQ89" s="42"/>
      <c r="AR89" s="42"/>
      <c r="AS89" s="42"/>
      <c r="AT89" s="42"/>
      <c r="AU89" s="42"/>
      <c r="AV89" s="42"/>
      <c r="AW89" s="42"/>
    </row>
    <row r="90" spans="1:49" x14ac:dyDescent="0.2">
      <c r="A90" s="42"/>
      <c r="B90" s="435"/>
      <c r="C90" s="436"/>
      <c r="D90" s="76"/>
      <c r="E90" s="76"/>
      <c r="F90" s="76"/>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2"/>
      <c r="AM90" s="42"/>
      <c r="AN90" s="42"/>
      <c r="AO90" s="42"/>
      <c r="AP90" s="42"/>
      <c r="AQ90" s="42"/>
      <c r="AR90" s="42"/>
      <c r="AS90" s="42"/>
      <c r="AT90" s="42"/>
      <c r="AU90" s="42"/>
      <c r="AV90" s="42"/>
      <c r="AW90" s="42"/>
    </row>
    <row r="91" spans="1:49" x14ac:dyDescent="0.2">
      <c r="A91" s="42"/>
      <c r="B91" s="433">
        <v>4</v>
      </c>
      <c r="C91" s="434"/>
      <c r="D91" s="75"/>
      <c r="E91" s="75"/>
      <c r="F91" s="75"/>
      <c r="G91" s="437" t="s">
        <v>58</v>
      </c>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2"/>
      <c r="AM91" s="42"/>
      <c r="AN91" s="42"/>
      <c r="AO91" s="42"/>
      <c r="AP91" s="42"/>
      <c r="AQ91" s="42"/>
      <c r="AR91" s="42"/>
      <c r="AS91" s="42"/>
      <c r="AT91" s="42"/>
      <c r="AU91" s="42"/>
      <c r="AV91" s="42"/>
      <c r="AW91" s="42"/>
    </row>
    <row r="92" spans="1:49" x14ac:dyDescent="0.2">
      <c r="A92" s="42"/>
      <c r="B92" s="433"/>
      <c r="C92" s="434"/>
      <c r="D92" s="75"/>
      <c r="E92" s="75"/>
      <c r="F92" s="75"/>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2"/>
      <c r="AM92" s="42"/>
      <c r="AN92" s="42"/>
      <c r="AO92" s="42"/>
      <c r="AP92" s="42"/>
      <c r="AQ92" s="42"/>
      <c r="AR92" s="42"/>
      <c r="AS92" s="42"/>
      <c r="AT92" s="42"/>
      <c r="AU92" s="42"/>
      <c r="AV92" s="42"/>
      <c r="AW92" s="42"/>
    </row>
    <row r="93" spans="1:49" x14ac:dyDescent="0.2">
      <c r="A93" s="42"/>
      <c r="B93" s="435"/>
      <c r="C93" s="436"/>
      <c r="D93" s="76"/>
      <c r="E93" s="76"/>
      <c r="F93" s="76"/>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2"/>
      <c r="AM93" s="42"/>
      <c r="AN93" s="42"/>
      <c r="AO93" s="42"/>
      <c r="AP93" s="42"/>
      <c r="AQ93" s="42"/>
      <c r="AR93" s="42"/>
      <c r="AS93" s="42"/>
      <c r="AT93" s="42"/>
      <c r="AU93" s="42"/>
      <c r="AV93" s="42"/>
      <c r="AW93" s="42"/>
    </row>
    <row r="94" spans="1:49" x14ac:dyDescent="0.2">
      <c r="A94" s="42"/>
      <c r="B94" s="431">
        <v>5</v>
      </c>
      <c r="C94" s="432"/>
      <c r="D94" s="74"/>
      <c r="E94" s="74"/>
      <c r="F94" s="74"/>
      <c r="G94" s="437" t="s">
        <v>109</v>
      </c>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2"/>
      <c r="AM94" s="42"/>
      <c r="AN94" s="42"/>
      <c r="AO94" s="42"/>
      <c r="AP94" s="42"/>
      <c r="AQ94" s="42"/>
      <c r="AR94" s="42"/>
      <c r="AS94" s="42"/>
      <c r="AT94" s="42"/>
      <c r="AU94" s="42"/>
      <c r="AV94" s="42"/>
      <c r="AW94" s="42"/>
    </row>
    <row r="95" spans="1:49" x14ac:dyDescent="0.2">
      <c r="A95" s="42"/>
      <c r="B95" s="433"/>
      <c r="C95" s="434"/>
      <c r="D95" s="75"/>
      <c r="E95" s="75"/>
      <c r="F95" s="75"/>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2"/>
      <c r="AM95" s="42"/>
      <c r="AN95" s="42"/>
      <c r="AO95" s="42"/>
      <c r="AP95" s="42"/>
      <c r="AQ95" s="42"/>
      <c r="AR95" s="42"/>
      <c r="AS95" s="42"/>
      <c r="AT95" s="42"/>
      <c r="AU95" s="42"/>
      <c r="AV95" s="42"/>
      <c r="AW95" s="42"/>
    </row>
    <row r="96" spans="1:49" x14ac:dyDescent="0.2">
      <c r="A96" s="42"/>
      <c r="B96" s="435"/>
      <c r="C96" s="436"/>
      <c r="D96" s="76"/>
      <c r="E96" s="76"/>
      <c r="F96" s="76"/>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2"/>
      <c r="AM96" s="42"/>
      <c r="AN96" s="42"/>
      <c r="AO96" s="42"/>
      <c r="AP96" s="42"/>
      <c r="AQ96" s="42"/>
      <c r="AR96" s="42"/>
      <c r="AS96" s="42"/>
      <c r="AT96" s="42"/>
      <c r="AU96" s="42"/>
      <c r="AV96" s="42"/>
      <c r="AW96" s="42"/>
    </row>
    <row r="97" spans="1:49" x14ac:dyDescent="0.2">
      <c r="A97" s="42"/>
      <c r="B97" s="431">
        <v>6</v>
      </c>
      <c r="C97" s="432"/>
      <c r="D97" s="74"/>
      <c r="E97" s="74"/>
      <c r="F97" s="74"/>
      <c r="G97" s="437" t="s">
        <v>110</v>
      </c>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2"/>
      <c r="AM97" s="42"/>
      <c r="AN97" s="42"/>
      <c r="AO97" s="42"/>
      <c r="AP97" s="42"/>
      <c r="AQ97" s="42"/>
      <c r="AR97" s="42"/>
      <c r="AS97" s="42"/>
      <c r="AT97" s="42"/>
      <c r="AU97" s="42"/>
      <c r="AV97" s="42"/>
      <c r="AW97" s="42"/>
    </row>
    <row r="98" spans="1:49" x14ac:dyDescent="0.2">
      <c r="A98" s="42"/>
      <c r="B98" s="433"/>
      <c r="C98" s="434"/>
      <c r="D98" s="75"/>
      <c r="E98" s="75"/>
      <c r="F98" s="75"/>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2"/>
      <c r="AM98" s="42"/>
      <c r="AN98" s="42"/>
      <c r="AO98" s="42"/>
      <c r="AP98" s="42"/>
      <c r="AQ98" s="42"/>
      <c r="AR98" s="42"/>
      <c r="AS98" s="42"/>
      <c r="AT98" s="42"/>
      <c r="AU98" s="42"/>
      <c r="AV98" s="42"/>
      <c r="AW98" s="42"/>
    </row>
    <row r="99" spans="1:49" x14ac:dyDescent="0.2">
      <c r="A99" s="42"/>
      <c r="B99" s="435"/>
      <c r="C99" s="436"/>
      <c r="D99" s="76"/>
      <c r="E99" s="76"/>
      <c r="F99" s="76"/>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2"/>
      <c r="AM99" s="42"/>
      <c r="AN99" s="42"/>
      <c r="AO99" s="42"/>
      <c r="AP99" s="42"/>
      <c r="AQ99" s="42"/>
      <c r="AR99" s="42"/>
      <c r="AS99" s="42"/>
      <c r="AT99" s="42"/>
      <c r="AU99" s="42"/>
      <c r="AV99" s="42"/>
      <c r="AW99" s="42"/>
    </row>
    <row r="100" spans="1:49" x14ac:dyDescent="0.2">
      <c r="A100" s="42"/>
      <c r="B100" s="431">
        <v>7</v>
      </c>
      <c r="C100" s="432"/>
      <c r="D100" s="74"/>
      <c r="E100" s="74"/>
      <c r="F100" s="74"/>
      <c r="G100" s="438" t="s">
        <v>111</v>
      </c>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2"/>
      <c r="AM100" s="42"/>
      <c r="AN100" s="42"/>
      <c r="AO100" s="42"/>
      <c r="AP100" s="42"/>
      <c r="AQ100" s="42"/>
      <c r="AR100" s="42"/>
      <c r="AS100" s="42"/>
      <c r="AT100" s="42"/>
      <c r="AU100" s="42"/>
      <c r="AV100" s="42"/>
      <c r="AW100" s="42"/>
    </row>
    <row r="101" spans="1:49" x14ac:dyDescent="0.2">
      <c r="A101" s="42"/>
      <c r="B101" s="433"/>
      <c r="C101" s="434"/>
      <c r="D101" s="75"/>
      <c r="E101" s="75"/>
      <c r="F101" s="75"/>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2"/>
      <c r="AM101" s="42"/>
      <c r="AN101" s="42"/>
      <c r="AO101" s="42"/>
      <c r="AP101" s="42"/>
      <c r="AQ101" s="42"/>
      <c r="AR101" s="42"/>
      <c r="AS101" s="42"/>
      <c r="AT101" s="42"/>
      <c r="AU101" s="42"/>
      <c r="AV101" s="42"/>
      <c r="AW101" s="42"/>
    </row>
    <row r="102" spans="1:49" x14ac:dyDescent="0.2">
      <c r="A102" s="42"/>
      <c r="B102" s="435"/>
      <c r="C102" s="436"/>
      <c r="D102" s="76"/>
      <c r="E102" s="76"/>
      <c r="F102" s="76"/>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2"/>
      <c r="AM102" s="42"/>
      <c r="AN102" s="42"/>
      <c r="AO102" s="42"/>
      <c r="AP102" s="42"/>
      <c r="AQ102" s="42"/>
      <c r="AR102" s="42"/>
      <c r="AS102" s="42"/>
      <c r="AT102" s="42"/>
      <c r="AU102" s="42"/>
      <c r="AV102" s="42"/>
      <c r="AW102" s="42"/>
    </row>
    <row r="103" spans="1:49" x14ac:dyDescent="0.2">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ed7mHFpW/4wG6tA4EF5v6Cjdn0AtAIL+IK4GSajLLYRQfIUQYvtEy8W5k7eYSNRC6Fq4Kja7645bvajRlEYYw==" saltValue="l39WA6iqARReRC74Q1YSjQ=="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x14ac:dyDescent="0.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x14ac:dyDescent="0.2">
      <c r="A1" s="23" t="s">
        <v>82</v>
      </c>
    </row>
    <row r="2" spans="1:5" x14ac:dyDescent="0.2">
      <c r="B2" s="52" t="s">
        <v>83</v>
      </c>
      <c r="C2" s="52" t="s">
        <v>84</v>
      </c>
      <c r="D2" s="52" t="s">
        <v>85</v>
      </c>
      <c r="E2" s="52" t="s">
        <v>86</v>
      </c>
    </row>
    <row r="3" spans="1:5" x14ac:dyDescent="0.2">
      <c r="B3" s="53" t="s">
        <v>87</v>
      </c>
      <c r="C3" s="54" t="s">
        <v>88</v>
      </c>
      <c r="D3" s="53" t="s">
        <v>89</v>
      </c>
      <c r="E3" s="53"/>
    </row>
    <row r="4" spans="1:5" ht="96" customHeight="1" x14ac:dyDescent="0.2">
      <c r="B4" s="53" t="s">
        <v>90</v>
      </c>
      <c r="C4" s="54">
        <v>45375</v>
      </c>
      <c r="D4" s="55" t="s">
        <v>91</v>
      </c>
      <c r="E4" s="53"/>
    </row>
    <row r="5" spans="1:5" x14ac:dyDescent="0.2">
      <c r="B5" s="53" t="s">
        <v>101</v>
      </c>
      <c r="C5" s="54">
        <v>45376</v>
      </c>
      <c r="D5" s="53" t="s">
        <v>102</v>
      </c>
      <c r="E5" s="53"/>
    </row>
    <row r="6" spans="1:5" ht="268.8" x14ac:dyDescent="0.2">
      <c r="B6" s="53" t="s">
        <v>112</v>
      </c>
      <c r="C6" s="54" t="s">
        <v>113</v>
      </c>
      <c r="D6" s="66" t="s">
        <v>114</v>
      </c>
      <c r="E6" s="53"/>
    </row>
    <row r="7" spans="1:5" ht="54" x14ac:dyDescent="0.2">
      <c r="B7" s="53" t="s">
        <v>115</v>
      </c>
      <c r="C7" s="54">
        <v>45394</v>
      </c>
      <c r="D7" s="67" t="s">
        <v>116</v>
      </c>
      <c r="E7" s="53"/>
    </row>
    <row r="8" spans="1:5" x14ac:dyDescent="0.2">
      <c r="B8" s="53" t="s">
        <v>120</v>
      </c>
      <c r="C8" s="54">
        <v>45413</v>
      </c>
      <c r="D8" s="67" t="s">
        <v>121</v>
      </c>
      <c r="E8" s="53"/>
    </row>
    <row r="9" spans="1:5" ht="43.2" x14ac:dyDescent="0.2">
      <c r="B9" s="145" t="s">
        <v>179</v>
      </c>
      <c r="C9" s="146">
        <v>45468</v>
      </c>
      <c r="D9" s="147" t="s">
        <v>180</v>
      </c>
      <c r="E9" s="148" t="s">
        <v>181</v>
      </c>
    </row>
    <row r="10" spans="1:5" x14ac:dyDescent="0.2">
      <c r="B10" s="53" t="s">
        <v>184</v>
      </c>
      <c r="C10" s="54">
        <v>45484</v>
      </c>
      <c r="D10" s="67" t="s">
        <v>185</v>
      </c>
      <c r="E10" s="53"/>
    </row>
    <row r="11" spans="1:5" ht="21.6" x14ac:dyDescent="0.2">
      <c r="B11" s="53" t="s">
        <v>186</v>
      </c>
      <c r="C11" s="54">
        <v>45532</v>
      </c>
      <c r="D11" s="67" t="s">
        <v>187</v>
      </c>
      <c r="E11" s="53"/>
    </row>
    <row r="12" spans="1:5" x14ac:dyDescent="0.2">
      <c r="B12" s="53" t="s">
        <v>190</v>
      </c>
      <c r="C12" s="54">
        <v>45555</v>
      </c>
      <c r="D12" s="153" t="s">
        <v>191</v>
      </c>
      <c r="E12" s="53"/>
    </row>
    <row r="13" spans="1:5" ht="43.2" x14ac:dyDescent="0.2">
      <c r="B13" s="53" t="s">
        <v>192</v>
      </c>
      <c r="C13" s="54">
        <v>45588</v>
      </c>
      <c r="D13" s="67" t="s">
        <v>193</v>
      </c>
      <c r="E13" s="53"/>
    </row>
    <row r="14" spans="1:5" ht="92.4" x14ac:dyDescent="0.2">
      <c r="B14" s="53" t="s">
        <v>206</v>
      </c>
      <c r="C14" s="54">
        <v>45716</v>
      </c>
      <c r="D14" s="55" t="s">
        <v>209</v>
      </c>
      <c r="E14" s="53"/>
    </row>
    <row r="15" spans="1:5" ht="39.6" x14ac:dyDescent="0.2">
      <c r="B15" s="53" t="s">
        <v>210</v>
      </c>
      <c r="C15" s="54">
        <v>45722</v>
      </c>
      <c r="D15" s="55" t="s">
        <v>215</v>
      </c>
      <c r="E15" s="53"/>
    </row>
    <row r="16" spans="1:5" x14ac:dyDescent="0.2">
      <c r="B16" s="53" t="s">
        <v>219</v>
      </c>
      <c r="C16" s="54">
        <v>45740</v>
      </c>
      <c r="D16" s="53" t="s">
        <v>220</v>
      </c>
      <c r="E16" s="53"/>
    </row>
    <row r="17" spans="2:5" ht="92.4" x14ac:dyDescent="0.2">
      <c r="B17" s="53" t="s">
        <v>221</v>
      </c>
      <c r="C17" s="54">
        <v>45744</v>
      </c>
      <c r="D17" s="55" t="s">
        <v>222</v>
      </c>
      <c r="E17" s="53"/>
    </row>
    <row r="18" spans="2:5" x14ac:dyDescent="0.2">
      <c r="B18" s="53"/>
      <c r="C18" s="53"/>
      <c r="D18" s="53"/>
      <c r="E18" s="53"/>
    </row>
  </sheetData>
  <sheetProtection algorithmName="SHA-512" hashValue="PnJ+Aydwf2IZuXI1YFtoMv01uChjSoAENWSJzUrnndpOwUgF5lBu/9saHEVmW60cEcGRiw1wkaySLpouPydQdw==" saltValue="yI8tE36SUYMc/qfEfekTIw=="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x14ac:dyDescent="0.2"/>
  <cols>
    <col min="1" max="1" width="27.6640625" bestFit="1" customWidth="1"/>
    <col min="2" max="2" width="7.109375" bestFit="1" customWidth="1"/>
    <col min="4" max="11" width="15.21875" bestFit="1" customWidth="1"/>
  </cols>
  <sheetData/>
  <sheetProtection algorithmName="SHA-512" hashValue="sYez3Vl4wak7pqjJOSRVS6aPA7B10nsCWmzVj5wm3IQWrtE2w8gjsJz+rg+KYbE3UUYxA2gTqddUSesRjz7tWg==" saltValue="OuaNOtaYUBnPLjEP3uy01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x14ac:dyDescent="0.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x14ac:dyDescent="0.2">
      <c r="H1" s="85" t="str">
        <f>'①製品審査申請書（工業会用）'!J1</f>
        <v>Ver.5.3</v>
      </c>
    </row>
    <row r="2" spans="1:9" x14ac:dyDescent="0.2">
      <c r="A2" s="480" t="s">
        <v>92</v>
      </c>
      <c r="B2" s="480"/>
      <c r="C2" s="53" t="str">
        <f>"CT0152-"&amp;E4</f>
        <v>CT0152-</v>
      </c>
    </row>
    <row r="3" spans="1:9" x14ac:dyDescent="0.2">
      <c r="G3" s="23" t="s">
        <v>118</v>
      </c>
    </row>
    <row r="4" spans="1:9" x14ac:dyDescent="0.2">
      <c r="B4" s="52" t="s">
        <v>3</v>
      </c>
      <c r="C4" s="56" t="str">
        <f>製品カテゴリ</f>
        <v>自動ダボ穴加工機</v>
      </c>
      <c r="D4" s="57" t="s">
        <v>93</v>
      </c>
      <c r="E4" s="58"/>
      <c r="G4" s="481" t="str">
        <f>省力化機能パラメータ</f>
        <v>加工機種類：　【　　】　[-]</v>
      </c>
      <c r="H4" s="481"/>
      <c r="I4" s="481"/>
    </row>
    <row r="5" spans="1:9" x14ac:dyDescent="0.2">
      <c r="B5" s="52" t="s">
        <v>94</v>
      </c>
      <c r="C5" s="53">
        <f>製造事業者名</f>
        <v>0</v>
      </c>
      <c r="G5" s="481"/>
      <c r="H5" s="481"/>
      <c r="I5" s="481"/>
    </row>
    <row r="6" spans="1:9" x14ac:dyDescent="0.2">
      <c r="B6" s="52" t="s">
        <v>95</v>
      </c>
      <c r="C6" s="53">
        <f>型番</f>
        <v>0</v>
      </c>
      <c r="G6" s="481"/>
      <c r="H6" s="481"/>
      <c r="I6" s="481"/>
    </row>
    <row r="7" spans="1:9" x14ac:dyDescent="0.2">
      <c r="B7" s="35"/>
      <c r="C7" s="185"/>
      <c r="G7" s="481"/>
      <c r="H7" s="481"/>
      <c r="I7" s="481"/>
    </row>
    <row r="8" spans="1:9" x14ac:dyDescent="0.2">
      <c r="C8" s="175"/>
      <c r="G8" s="481"/>
      <c r="H8" s="481"/>
      <c r="I8" s="481"/>
    </row>
    <row r="9" spans="1:9" ht="13.8" thickBot="1" x14ac:dyDescent="0.25"/>
    <row r="10" spans="1:9" x14ac:dyDescent="0.2">
      <c r="D10" s="154" t="s">
        <v>96</v>
      </c>
      <c r="E10" s="57"/>
      <c r="F10" s="154" t="s">
        <v>97</v>
      </c>
      <c r="G10" s="155"/>
      <c r="H10" s="77" t="s">
        <v>119</v>
      </c>
    </row>
    <row r="11" spans="1:9" x14ac:dyDescent="0.2">
      <c r="B11" s="59" t="s">
        <v>4</v>
      </c>
      <c r="C11" s="60" t="s">
        <v>98</v>
      </c>
      <c r="D11" s="59" t="s">
        <v>96</v>
      </c>
      <c r="E11" s="61" t="s">
        <v>99</v>
      </c>
      <c r="F11" s="59" t="s">
        <v>100</v>
      </c>
      <c r="G11" s="156" t="s">
        <v>99</v>
      </c>
      <c r="H11" s="78"/>
    </row>
    <row r="12" spans="1:9" ht="13.8" thickBot="1" x14ac:dyDescent="0.25">
      <c r="B12" s="157" t="s">
        <v>12</v>
      </c>
      <c r="C12" s="158" t="s">
        <v>12</v>
      </c>
      <c r="D12" s="159">
        <f>省力化指数</f>
        <v>0.85</v>
      </c>
      <c r="E12" s="160" t="str">
        <f>審査結果</f>
        <v>適格</v>
      </c>
      <c r="F12" s="161"/>
      <c r="G12" s="156" t="s">
        <v>194</v>
      </c>
      <c r="H12" s="162" t="str">
        <f>E12</f>
        <v>適格</v>
      </c>
    </row>
  </sheetData>
  <sheetProtection algorithmName="SHA-512" hashValue="IDGlXid/utce2RqPhBFK3MdkWyK1TSdSyZo/ExqhDU+uumfpqxbJo5Vuen4LPmgHxgavijW+m6070pkJ81Bmxg==" saltValue="qTn6yyz/EvNXt76CpggbJQ=="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x14ac:dyDescent="0.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x14ac:dyDescent="0.2">
      <c r="D2" s="222" t="s">
        <v>9</v>
      </c>
      <c r="E2" s="222"/>
      <c r="F2" s="222"/>
      <c r="G2" s="222"/>
      <c r="H2" s="222"/>
      <c r="I2" s="222"/>
      <c r="J2" s="222"/>
      <c r="K2" s="222"/>
      <c r="L2" s="222"/>
      <c r="M2" s="222"/>
      <c r="N2" s="222"/>
      <c r="O2" s="222"/>
      <c r="P2" s="222"/>
      <c r="Q2" s="222"/>
      <c r="R2" s="222"/>
      <c r="S2" s="222"/>
    </row>
    <row r="3" spans="2:20" ht="7.5" customHeight="1" x14ac:dyDescent="0.2">
      <c r="D3" s="172"/>
      <c r="E3" s="172"/>
      <c r="F3" s="172"/>
      <c r="G3" s="172"/>
      <c r="H3" s="172"/>
      <c r="I3" s="172"/>
      <c r="J3" s="172"/>
      <c r="K3" s="172"/>
      <c r="L3" s="172"/>
      <c r="M3" s="172"/>
      <c r="N3" s="172"/>
      <c r="O3" s="172"/>
      <c r="P3" s="172"/>
      <c r="Q3" s="172"/>
      <c r="R3" s="172"/>
      <c r="S3" s="172"/>
    </row>
    <row r="4" spans="2:20" ht="15" customHeight="1" x14ac:dyDescent="0.2">
      <c r="C4" t="str">
        <f>"【"&amp;製品カテゴリ&amp;"】"</f>
        <v>【自動ダボ穴加工機】</v>
      </c>
      <c r="D4" s="51"/>
      <c r="E4" s="172"/>
      <c r="F4" s="172"/>
      <c r="G4" s="172"/>
      <c r="H4" s="172"/>
      <c r="I4" s="172"/>
      <c r="J4" s="172"/>
      <c r="K4" s="172"/>
      <c r="L4" s="172"/>
      <c r="M4" s="172"/>
      <c r="N4" s="20"/>
      <c r="O4" s="20"/>
      <c r="P4" s="483" t="s">
        <v>260</v>
      </c>
      <c r="Q4" s="483"/>
      <c r="R4" s="483"/>
      <c r="S4" s="483"/>
    </row>
    <row r="5" spans="2:20" ht="7.5" customHeight="1" x14ac:dyDescent="0.2">
      <c r="D5" s="172"/>
      <c r="E5" s="172"/>
      <c r="F5" s="172"/>
      <c r="G5" s="172"/>
      <c r="H5" s="172"/>
      <c r="I5" s="172"/>
      <c r="J5" s="172"/>
      <c r="K5" s="172"/>
      <c r="L5" s="172"/>
      <c r="M5" s="172"/>
      <c r="N5" s="172"/>
      <c r="O5" s="172"/>
      <c r="P5" s="172"/>
      <c r="Q5" s="172"/>
      <c r="R5" s="172"/>
      <c r="S5" s="172"/>
    </row>
    <row r="6" spans="2:20" x14ac:dyDescent="0.2">
      <c r="D6" s="4" t="s">
        <v>0</v>
      </c>
      <c r="E6" s="484">
        <f>製造事業者名</f>
        <v>0</v>
      </c>
      <c r="F6" s="484"/>
      <c r="G6" s="484"/>
      <c r="H6" s="484"/>
      <c r="I6" s="484"/>
      <c r="J6" s="484"/>
      <c r="K6" s="484"/>
      <c r="L6" s="484"/>
      <c r="M6" s="484"/>
      <c r="N6" s="484"/>
      <c r="O6" s="484"/>
      <c r="P6" s="484"/>
    </row>
    <row r="7" spans="2:20" x14ac:dyDescent="0.2">
      <c r="D7" s="4" t="s">
        <v>1</v>
      </c>
      <c r="E7" s="485">
        <f>型番</f>
        <v>0</v>
      </c>
      <c r="F7" s="485"/>
      <c r="G7" s="485"/>
      <c r="H7" s="485"/>
      <c r="I7" s="485"/>
      <c r="J7" s="485"/>
      <c r="K7" s="485"/>
      <c r="L7" s="485"/>
      <c r="M7" s="485"/>
      <c r="N7" s="485"/>
      <c r="O7" s="485"/>
      <c r="P7" s="485"/>
    </row>
    <row r="9" spans="2:20" ht="13.5" customHeight="1" x14ac:dyDescent="0.2">
      <c r="C9" s="486" t="s">
        <v>216</v>
      </c>
      <c r="D9" s="486"/>
      <c r="E9" s="486"/>
      <c r="F9" s="486"/>
      <c r="G9" s="486"/>
      <c r="H9" s="486"/>
      <c r="I9" s="486"/>
      <c r="J9" s="486"/>
      <c r="K9" s="486"/>
      <c r="L9" s="486"/>
      <c r="M9" s="486"/>
      <c r="N9" s="486"/>
      <c r="O9" s="486"/>
      <c r="P9" s="486"/>
      <c r="Q9" s="486"/>
      <c r="R9" s="486"/>
      <c r="S9" s="486"/>
      <c r="T9" s="163"/>
    </row>
    <row r="10" spans="2:20" ht="13.5" customHeight="1" x14ac:dyDescent="0.2">
      <c r="C10" s="486"/>
      <c r="D10" s="486"/>
      <c r="E10" s="486"/>
      <c r="F10" s="486"/>
      <c r="G10" s="486"/>
      <c r="H10" s="486"/>
      <c r="I10" s="486"/>
      <c r="J10" s="486"/>
      <c r="K10" s="486"/>
      <c r="L10" s="486"/>
      <c r="M10" s="486"/>
      <c r="N10" s="486"/>
      <c r="O10" s="486"/>
      <c r="P10" s="486"/>
      <c r="Q10" s="486"/>
      <c r="R10" s="486"/>
      <c r="S10" s="486"/>
      <c r="T10" s="173"/>
    </row>
    <row r="12" spans="2:20" ht="16.2" x14ac:dyDescent="0.2">
      <c r="B12" s="9"/>
      <c r="C12" s="482" t="s">
        <v>96</v>
      </c>
      <c r="D12" s="482"/>
      <c r="E12" s="17"/>
      <c r="F12" s="10"/>
      <c r="G12" s="10"/>
      <c r="H12" s="10"/>
      <c r="I12" s="10"/>
      <c r="J12" s="10"/>
      <c r="K12" s="10"/>
      <c r="L12" s="10"/>
      <c r="M12" s="10"/>
      <c r="N12" s="10"/>
      <c r="O12" s="10"/>
      <c r="P12" s="10"/>
      <c r="Q12" s="10"/>
      <c r="R12" s="10"/>
      <c r="S12" s="10"/>
      <c r="T12" s="11"/>
    </row>
    <row r="13" spans="2:20" x14ac:dyDescent="0.2">
      <c r="B13" s="12"/>
      <c r="D13" s="5"/>
      <c r="E13" s="5"/>
      <c r="T13" s="13"/>
    </row>
    <row r="14" spans="2:20" x14ac:dyDescent="0.2">
      <c r="B14" s="12"/>
      <c r="C14" s="86" t="str">
        <f>IF(D14&lt;&gt;"","x1：","")</f>
        <v>x1：</v>
      </c>
      <c r="D14" t="s">
        <v>247</v>
      </c>
      <c r="E14" s="2"/>
      <c r="F14" s="165"/>
      <c r="G14" s="2"/>
      <c r="I14" s="169"/>
      <c r="J14" s="2" t="str">
        <f>IF(O14=60,"[分/回]",IF(O14=3600,"[秒/回]",""))</f>
        <v>[分/回]</v>
      </c>
      <c r="K14" s="2" t="str">
        <f>IF(I14&lt;&gt;"","×","")</f>
        <v/>
      </c>
      <c r="L14" s="165">
        <v>90</v>
      </c>
      <c r="M14" s="2" t="s">
        <v>262</v>
      </c>
      <c r="N14" s="2" t="str">
        <f>IF(L14&lt;&gt;"","÷","")</f>
        <v>÷</v>
      </c>
      <c r="O14" s="165">
        <v>60</v>
      </c>
      <c r="P14" s="2" t="str">
        <f>IF(O14=60,"[分/時間]",IF(O14=3600,"[秒/時間]",""))</f>
        <v>[分/時間]</v>
      </c>
      <c r="Q14" s="2" t="str">
        <f>IF(O14&lt;&gt;"","=","")</f>
        <v>=</v>
      </c>
      <c r="R14" s="169">
        <f>90/60</f>
        <v>1.5</v>
      </c>
      <c r="S14" s="2" t="str">
        <f>IF(R14&lt;&gt;"","[時間/日]","")</f>
        <v>[時間/日]</v>
      </c>
      <c r="T14" s="13"/>
    </row>
    <row r="15" spans="2:20" x14ac:dyDescent="0.2">
      <c r="B15" s="12"/>
      <c r="C15" s="86" t="str">
        <f>IF(D15&lt;&gt;"","x2：","")</f>
        <v>x2：</v>
      </c>
      <c r="D15" t="s">
        <v>248</v>
      </c>
      <c r="E15" s="2"/>
      <c r="F15" s="165"/>
      <c r="G15" s="2"/>
      <c r="I15" s="169"/>
      <c r="J15" s="2" t="str">
        <f t="shared" ref="J15:J28" si="0">IF(O15=60,"[分/回]",IF(O15=3600,"[秒/回]",""))</f>
        <v>[分/回]</v>
      </c>
      <c r="K15" s="2" t="str">
        <f t="shared" ref="K15:K28" si="1">IF(I15&lt;&gt;"","×","")</f>
        <v/>
      </c>
      <c r="L15" s="165">
        <v>30</v>
      </c>
      <c r="M15" s="2" t="s">
        <v>262</v>
      </c>
      <c r="N15" s="2" t="str">
        <f t="shared" ref="N15:N28" si="2">IF(L15&lt;&gt;"","÷","")</f>
        <v>÷</v>
      </c>
      <c r="O15" s="165">
        <v>60</v>
      </c>
      <c r="P15" s="2" t="str">
        <f t="shared" ref="P15:P28" si="3">IF(O15=60,"[分/時間]",IF(O15=3600,"[秒/時間]",""))</f>
        <v>[分/時間]</v>
      </c>
      <c r="Q15" s="2" t="str">
        <f t="shared" ref="Q15:Q28" si="4">IF(O15&lt;&gt;"","=","")</f>
        <v>=</v>
      </c>
      <c r="R15" s="169">
        <f>30/60</f>
        <v>0.5</v>
      </c>
      <c r="S15" s="2" t="str">
        <f t="shared" ref="S15:S28" si="5">IF(R15&lt;&gt;"","[時間/日]","")</f>
        <v>[時間/日]</v>
      </c>
      <c r="T15" s="13"/>
    </row>
    <row r="16" spans="2:20" x14ac:dyDescent="0.2">
      <c r="B16" s="12"/>
      <c r="C16" s="86" t="str">
        <f>IF(D16&lt;&gt;"","x3：","")</f>
        <v>x3：</v>
      </c>
      <c r="D16" t="s">
        <v>249</v>
      </c>
      <c r="E16" s="2"/>
      <c r="F16" s="165"/>
      <c r="G16" s="2"/>
      <c r="I16" s="165">
        <v>1</v>
      </c>
      <c r="J16" s="2" t="str">
        <f t="shared" si="0"/>
        <v>[分/回]</v>
      </c>
      <c r="K16" s="2" t="str">
        <f t="shared" si="1"/>
        <v>×</v>
      </c>
      <c r="L16" s="165">
        <f>日当たり木板加工枚数</f>
        <v>50</v>
      </c>
      <c r="M16" s="2" t="s">
        <v>264</v>
      </c>
      <c r="N16" s="2" t="str">
        <f t="shared" si="2"/>
        <v>÷</v>
      </c>
      <c r="O16" s="165">
        <v>60</v>
      </c>
      <c r="P16" s="2" t="str">
        <f t="shared" si="3"/>
        <v>[分/時間]</v>
      </c>
      <c r="Q16" s="2" t="str">
        <f t="shared" si="4"/>
        <v>=</v>
      </c>
      <c r="R16" s="169">
        <f>1/60*日当たり木板加工枚数</f>
        <v>0.83333333333333337</v>
      </c>
      <c r="S16" s="2" t="str">
        <f t="shared" si="5"/>
        <v>[時間/日]</v>
      </c>
      <c r="T16" s="13"/>
    </row>
    <row r="17" spans="2:20" x14ac:dyDescent="0.2">
      <c r="B17" s="12"/>
      <c r="C17" s="86" t="str">
        <f>IF(D17&lt;&gt;"","x4：","")</f>
        <v>x4：</v>
      </c>
      <c r="D17" t="s">
        <v>250</v>
      </c>
      <c r="E17" s="2"/>
      <c r="F17" s="165"/>
      <c r="G17" s="2"/>
      <c r="I17" s="169">
        <v>0.1</v>
      </c>
      <c r="J17" s="2" t="str">
        <f t="shared" si="0"/>
        <v>[分/回]</v>
      </c>
      <c r="K17" s="2" t="str">
        <f t="shared" si="1"/>
        <v>×</v>
      </c>
      <c r="L17" s="165">
        <f>日当たり木板加工枚数*木板1枚当たりダボ穴加工数</f>
        <v>600</v>
      </c>
      <c r="M17" s="2" t="s">
        <v>265</v>
      </c>
      <c r="N17" s="2" t="str">
        <f t="shared" si="2"/>
        <v>÷</v>
      </c>
      <c r="O17" s="165">
        <v>60</v>
      </c>
      <c r="P17" s="2" t="str">
        <f t="shared" si="3"/>
        <v>[分/時間]</v>
      </c>
      <c r="Q17" s="2" t="str">
        <f t="shared" si="4"/>
        <v>=</v>
      </c>
      <c r="R17" s="169">
        <f>0.1/60*日当たり木板加工枚数*木板1枚当たりダボ穴加工数</f>
        <v>1</v>
      </c>
      <c r="S17" s="2" t="str">
        <f t="shared" si="5"/>
        <v>[時間/日]</v>
      </c>
      <c r="T17" s="13"/>
    </row>
    <row r="18" spans="2:20" x14ac:dyDescent="0.2">
      <c r="B18" s="12"/>
      <c r="C18" s="86" t="str">
        <f>IF(D18&lt;&gt;"","x5：","")</f>
        <v>x5：</v>
      </c>
      <c r="D18" t="s">
        <v>251</v>
      </c>
      <c r="E18" s="2"/>
      <c r="F18" s="165"/>
      <c r="G18" s="2"/>
      <c r="I18" s="169">
        <v>0.05</v>
      </c>
      <c r="J18" s="2" t="str">
        <f t="shared" si="0"/>
        <v>[分/回]</v>
      </c>
      <c r="K18" s="2" t="str">
        <f t="shared" si="1"/>
        <v>×</v>
      </c>
      <c r="L18" s="165">
        <f>日当たり木板加工枚数*木板1枚当たりダボ穴加工数</f>
        <v>600</v>
      </c>
      <c r="M18" s="2" t="s">
        <v>265</v>
      </c>
      <c r="N18" s="2" t="str">
        <f t="shared" si="2"/>
        <v>÷</v>
      </c>
      <c r="O18" s="165">
        <v>60</v>
      </c>
      <c r="P18" s="2" t="str">
        <f t="shared" si="3"/>
        <v>[分/時間]</v>
      </c>
      <c r="Q18" s="2" t="str">
        <f t="shared" si="4"/>
        <v>=</v>
      </c>
      <c r="R18" s="169">
        <f>0.05/60*日当たり木板加工枚数*木板1枚当たりダボ穴加工数</f>
        <v>0.5</v>
      </c>
      <c r="S18" s="2" t="str">
        <f t="shared" si="5"/>
        <v>[時間/日]</v>
      </c>
      <c r="T18" s="13"/>
    </row>
    <row r="19" spans="2:20" x14ac:dyDescent="0.2">
      <c r="B19" s="12"/>
      <c r="C19" s="86" t="str">
        <f>IF(D19&lt;&gt;"","x6：","")</f>
        <v>x6：</v>
      </c>
      <c r="D19" t="s">
        <v>252</v>
      </c>
      <c r="E19" s="2"/>
      <c r="F19" s="165"/>
      <c r="G19" s="2"/>
      <c r="I19" s="169">
        <v>0.1</v>
      </c>
      <c r="J19" s="2" t="str">
        <f t="shared" si="0"/>
        <v>[分/回]</v>
      </c>
      <c r="K19" s="2" t="str">
        <f t="shared" si="1"/>
        <v>×</v>
      </c>
      <c r="L19" s="165">
        <f>日当たり木板加工枚数*木板1枚当たりダボ穴加工数</f>
        <v>600</v>
      </c>
      <c r="M19" s="2" t="s">
        <v>265</v>
      </c>
      <c r="N19" s="2" t="str">
        <f t="shared" si="2"/>
        <v>÷</v>
      </c>
      <c r="O19" s="165">
        <v>60</v>
      </c>
      <c r="P19" s="2" t="str">
        <f t="shared" si="3"/>
        <v>[分/時間]</v>
      </c>
      <c r="Q19" s="2" t="str">
        <f t="shared" si="4"/>
        <v>=</v>
      </c>
      <c r="R19" s="169">
        <f>0.1/60*日当たり木板加工枚数*木板1枚当たりダボ穴加工数</f>
        <v>1</v>
      </c>
      <c r="S19" s="2" t="str">
        <f t="shared" si="5"/>
        <v>[時間/日]</v>
      </c>
      <c r="T19" s="13"/>
    </row>
    <row r="20" spans="2:20" x14ac:dyDescent="0.2">
      <c r="B20" s="12"/>
      <c r="C20" s="86" t="str">
        <f>IF(D20&lt;&gt;"","x7：","")</f>
        <v>x7：</v>
      </c>
      <c r="D20" t="s">
        <v>253</v>
      </c>
      <c r="E20" s="2"/>
      <c r="F20" s="165"/>
      <c r="G20" s="2"/>
      <c r="I20" s="165">
        <v>2</v>
      </c>
      <c r="J20" s="2" t="str">
        <f t="shared" si="0"/>
        <v>[分/回]</v>
      </c>
      <c r="K20" s="2" t="str">
        <f t="shared" si="1"/>
        <v>×</v>
      </c>
      <c r="L20" s="165">
        <f>日当たり木板加工枚数</f>
        <v>50</v>
      </c>
      <c r="M20" s="2" t="s">
        <v>263</v>
      </c>
      <c r="N20" s="2" t="str">
        <f t="shared" si="2"/>
        <v>÷</v>
      </c>
      <c r="O20" s="165">
        <v>60</v>
      </c>
      <c r="P20" s="2" t="str">
        <f t="shared" si="3"/>
        <v>[分/時間]</v>
      </c>
      <c r="Q20" s="2" t="str">
        <f t="shared" si="4"/>
        <v>=</v>
      </c>
      <c r="R20" s="169">
        <f>2/60*日当たり木板加工枚数</f>
        <v>1.6666666666666667</v>
      </c>
      <c r="S20" s="2" t="str">
        <f t="shared" si="5"/>
        <v>[時間/日]</v>
      </c>
      <c r="T20" s="13"/>
    </row>
    <row r="21" spans="2:20" hidden="1" x14ac:dyDescent="0.2">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x14ac:dyDescent="0.2">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x14ac:dyDescent="0.2">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x14ac:dyDescent="0.2">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x14ac:dyDescent="0.2">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x14ac:dyDescent="0.2">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x14ac:dyDescent="0.2">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x14ac:dyDescent="0.2">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x14ac:dyDescent="0.2">
      <c r="B29" s="12"/>
      <c r="C29" s="10" t="s">
        <v>224</v>
      </c>
      <c r="D29" s="10"/>
      <c r="E29" s="10"/>
      <c r="F29" s="16"/>
      <c r="G29" s="16"/>
      <c r="H29" s="16"/>
      <c r="I29" s="16"/>
      <c r="J29" s="16"/>
      <c r="K29" s="16"/>
      <c r="L29" s="16"/>
      <c r="M29" s="16"/>
      <c r="N29" s="16"/>
      <c r="O29" s="16"/>
      <c r="P29" s="16"/>
      <c r="Q29" s="16"/>
      <c r="R29" s="171">
        <f>SUM(R14:R28)</f>
        <v>7.0000000000000009</v>
      </c>
      <c r="S29" s="16" t="s">
        <v>11</v>
      </c>
      <c r="T29" s="13"/>
    </row>
    <row r="30" spans="2:20" x14ac:dyDescent="0.2">
      <c r="B30" s="12"/>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6"/>
      <c r="S30" s="2"/>
      <c r="T30" s="13"/>
    </row>
    <row r="31" spans="2:20" x14ac:dyDescent="0.2">
      <c r="B31" s="12"/>
      <c r="F31" s="2"/>
      <c r="G31" s="2"/>
      <c r="H31" s="2"/>
      <c r="I31" s="2"/>
      <c r="J31" s="2"/>
      <c r="K31" s="2"/>
      <c r="L31" s="2"/>
      <c r="M31" s="2"/>
      <c r="N31" s="2"/>
      <c r="O31" s="2"/>
      <c r="P31" s="2"/>
      <c r="Q31" s="2"/>
      <c r="R31" s="6"/>
      <c r="S31" s="2"/>
      <c r="T31" s="13"/>
    </row>
    <row r="32" spans="2:20" x14ac:dyDescent="0.2">
      <c r="B32" s="12"/>
      <c r="C32" s="86" t="str">
        <f>IF(D32&lt;&gt;"","y1：","")</f>
        <v>y1：</v>
      </c>
      <c r="D32" t="s">
        <v>254</v>
      </c>
      <c r="F32" s="165"/>
      <c r="G32" s="2"/>
      <c r="I32" s="165">
        <v>5</v>
      </c>
      <c r="J32" s="2" t="str">
        <f>IF(O32=60,"[分/回]",IF(O32=3600,"[秒/回]",""))</f>
        <v>[分/回]</v>
      </c>
      <c r="K32" s="2" t="str">
        <f>IF(I32&lt;&gt;"","×","")</f>
        <v>×</v>
      </c>
      <c r="L32" s="165">
        <f>想定導入機器台数</f>
        <v>1</v>
      </c>
      <c r="M32" s="2" t="s">
        <v>266</v>
      </c>
      <c r="N32" s="2" t="str">
        <f>IF(L32&lt;&gt;"","÷","")</f>
        <v>÷</v>
      </c>
      <c r="O32" s="165">
        <v>60</v>
      </c>
      <c r="P32" s="2" t="str">
        <f>IF(O32=60,"[分/時間]",IF(O32=3600,"[秒/時間]",""))</f>
        <v>[分/時間]</v>
      </c>
      <c r="Q32" s="2" t="str">
        <f>IF(O32&lt;&gt;"","=","")</f>
        <v>=</v>
      </c>
      <c r="R32" s="169">
        <f>5/60*想定導入機器台数</f>
        <v>8.3333333333333329E-2</v>
      </c>
      <c r="S32" s="2" t="str">
        <f>IF(R32&lt;&gt;"","[時間/日]","")</f>
        <v>[時間/日]</v>
      </c>
      <c r="T32" s="13"/>
    </row>
    <row r="33" spans="2:20" x14ac:dyDescent="0.2">
      <c r="B33" s="12"/>
      <c r="C33" s="86" t="str">
        <f>IF(D33&lt;&gt;"","y2：","")</f>
        <v>y2：</v>
      </c>
      <c r="D33" t="s">
        <v>255</v>
      </c>
      <c r="F33" s="165"/>
      <c r="G33" s="2"/>
      <c r="I33" s="165">
        <v>4</v>
      </c>
      <c r="J33" s="2" t="str">
        <f t="shared" ref="J33:J46" si="6">IF(O33=60,"[分/回]",IF(O33=3600,"[秒/回]",""))</f>
        <v>[分/回]</v>
      </c>
      <c r="K33" s="2" t="str">
        <f t="shared" ref="K33:K46" si="7">IF(I33&lt;&gt;"","×","")</f>
        <v>×</v>
      </c>
      <c r="L33" s="165">
        <f>想定導入機器台数</f>
        <v>1</v>
      </c>
      <c r="M33" s="2" t="s">
        <v>266</v>
      </c>
      <c r="N33" s="2" t="str">
        <f t="shared" ref="N33:N46" si="8">IF(L33&lt;&gt;"","÷","")</f>
        <v>÷</v>
      </c>
      <c r="O33" s="165">
        <v>60</v>
      </c>
      <c r="P33" s="2" t="str">
        <f t="shared" ref="P33:P46" si="9">IF(O33=60,"[分/時間]",IF(O33=3600,"[秒/時間]",""))</f>
        <v>[分/時間]</v>
      </c>
      <c r="Q33" s="2" t="str">
        <f t="shared" ref="Q33:Q46" si="10">IF(O33&lt;&gt;"","=","")</f>
        <v>=</v>
      </c>
      <c r="R33" s="169">
        <f>4/60*想定導入機器台数</f>
        <v>6.6666666666666666E-2</v>
      </c>
      <c r="S33" s="2" t="str">
        <f t="shared" ref="S33:S46" si="11">IF(R33&lt;&gt;"","[時間/日]","")</f>
        <v>[時間/日]</v>
      </c>
      <c r="T33" s="13"/>
    </row>
    <row r="34" spans="2:20" x14ac:dyDescent="0.2">
      <c r="B34" s="12"/>
      <c r="C34" s="86" t="str">
        <f>IF(D34&lt;&gt;"","y3：","")</f>
        <v>y3：</v>
      </c>
      <c r="D34" t="s">
        <v>256</v>
      </c>
      <c r="F34" s="165"/>
      <c r="G34" s="2"/>
      <c r="I34" s="165">
        <v>1</v>
      </c>
      <c r="J34" s="2" t="str">
        <f t="shared" si="6"/>
        <v>[分/回]</v>
      </c>
      <c r="K34" s="2" t="str">
        <f t="shared" si="7"/>
        <v>×</v>
      </c>
      <c r="L34" s="165">
        <f>日当たり木板加工枚数</f>
        <v>50</v>
      </c>
      <c r="M34" s="2" t="s">
        <v>264</v>
      </c>
      <c r="N34" s="2" t="str">
        <f t="shared" si="8"/>
        <v>÷</v>
      </c>
      <c r="O34" s="165">
        <v>60</v>
      </c>
      <c r="P34" s="2" t="str">
        <f t="shared" si="9"/>
        <v>[分/時間]</v>
      </c>
      <c r="Q34" s="2" t="str">
        <f t="shared" si="10"/>
        <v>=</v>
      </c>
      <c r="R34" s="169">
        <f>1/60*日当たり木板加工枚数</f>
        <v>0.83333333333333337</v>
      </c>
      <c r="S34" s="2" t="str">
        <f t="shared" si="11"/>
        <v>[時間/日]</v>
      </c>
      <c r="T34" s="13"/>
    </row>
    <row r="35" spans="2:20" x14ac:dyDescent="0.2">
      <c r="B35" s="12"/>
      <c r="C35" s="86" t="str">
        <f>IF(D35&lt;&gt;"","y4：","")</f>
        <v>y4：</v>
      </c>
      <c r="D35" t="s">
        <v>257</v>
      </c>
      <c r="F35" s="165"/>
      <c r="G35" s="2"/>
      <c r="I35" s="199">
        <f>IF(加工機種類="片面加工機",0.3,0)</f>
        <v>0</v>
      </c>
      <c r="J35" s="2" t="str">
        <f t="shared" si="6"/>
        <v>[分/回]</v>
      </c>
      <c r="K35" s="2" t="str">
        <f t="shared" si="7"/>
        <v>×</v>
      </c>
      <c r="L35" s="165">
        <f>日当たり木板加工枚数</f>
        <v>50</v>
      </c>
      <c r="M35" s="2" t="s">
        <v>264</v>
      </c>
      <c r="N35" s="2" t="str">
        <f t="shared" si="8"/>
        <v>÷</v>
      </c>
      <c r="O35" s="165">
        <v>60</v>
      </c>
      <c r="P35" s="2" t="str">
        <f t="shared" si="9"/>
        <v>[分/時間]</v>
      </c>
      <c r="Q35" s="2" t="str">
        <f t="shared" si="10"/>
        <v>=</v>
      </c>
      <c r="R35" s="199">
        <f>IF(加工機種類="片面加工機",0.3,0)/60*日当たり木板加工枚数</f>
        <v>0</v>
      </c>
      <c r="S35" s="2" t="str">
        <f t="shared" si="11"/>
        <v>[時間/日]</v>
      </c>
      <c r="T35" s="13"/>
    </row>
    <row r="36" spans="2:20" x14ac:dyDescent="0.2">
      <c r="B36" s="12"/>
      <c r="C36" s="86" t="str">
        <f>IF(D36&lt;&gt;"","y5：","")</f>
        <v>y5：</v>
      </c>
      <c r="D36" t="s">
        <v>258</v>
      </c>
      <c r="F36" s="165"/>
      <c r="G36" s="2"/>
      <c r="I36" s="165">
        <v>2</v>
      </c>
      <c r="J36" s="2" t="str">
        <f t="shared" si="6"/>
        <v>[分/回]</v>
      </c>
      <c r="K36" s="2" t="str">
        <f t="shared" si="7"/>
        <v>×</v>
      </c>
      <c r="L36" s="165">
        <f>想定導入機器台数</f>
        <v>1</v>
      </c>
      <c r="M36" s="2" t="s">
        <v>266</v>
      </c>
      <c r="N36" s="2" t="str">
        <f t="shared" si="8"/>
        <v>÷</v>
      </c>
      <c r="O36" s="165">
        <v>60</v>
      </c>
      <c r="P36" s="2" t="str">
        <f t="shared" si="9"/>
        <v>[分/時間]</v>
      </c>
      <c r="Q36" s="2" t="str">
        <f t="shared" si="10"/>
        <v>=</v>
      </c>
      <c r="R36" s="169">
        <f>2/60*想定導入機器台数</f>
        <v>3.3333333333333333E-2</v>
      </c>
      <c r="S36" s="2" t="str">
        <f t="shared" si="11"/>
        <v>[時間/日]</v>
      </c>
      <c r="T36" s="13"/>
    </row>
    <row r="37" spans="2:20" hidden="1" x14ac:dyDescent="0.2">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69"/>
      <c r="S37" s="2" t="str">
        <f t="shared" si="11"/>
        <v/>
      </c>
      <c r="T37" s="13"/>
    </row>
    <row r="38" spans="2:20" hidden="1" x14ac:dyDescent="0.2">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69"/>
      <c r="S38" s="2" t="str">
        <f t="shared" si="11"/>
        <v/>
      </c>
      <c r="T38" s="13"/>
    </row>
    <row r="39" spans="2:20" hidden="1" x14ac:dyDescent="0.2">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69"/>
      <c r="S39" s="2" t="str">
        <f t="shared" si="11"/>
        <v/>
      </c>
      <c r="T39" s="13"/>
    </row>
    <row r="40" spans="2:20" hidden="1" x14ac:dyDescent="0.2">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69"/>
      <c r="S40" s="2" t="str">
        <f t="shared" si="11"/>
        <v/>
      </c>
      <c r="T40" s="13"/>
    </row>
    <row r="41" spans="2:20" hidden="1" x14ac:dyDescent="0.2">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69"/>
      <c r="S41" s="2" t="str">
        <f t="shared" si="11"/>
        <v/>
      </c>
      <c r="T41" s="13"/>
    </row>
    <row r="42" spans="2:20" hidden="1" x14ac:dyDescent="0.2">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69"/>
      <c r="S42" s="2" t="str">
        <f t="shared" si="11"/>
        <v/>
      </c>
      <c r="T42" s="13"/>
    </row>
    <row r="43" spans="2:20" hidden="1" x14ac:dyDescent="0.2">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69"/>
      <c r="S43" s="2" t="str">
        <f t="shared" si="11"/>
        <v/>
      </c>
      <c r="T43" s="13"/>
    </row>
    <row r="44" spans="2:20" hidden="1" x14ac:dyDescent="0.2">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69"/>
      <c r="S44" s="2" t="str">
        <f t="shared" si="11"/>
        <v/>
      </c>
      <c r="T44" s="13"/>
    </row>
    <row r="45" spans="2:20" hidden="1" x14ac:dyDescent="0.2">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69"/>
      <c r="S45" s="2" t="str">
        <f t="shared" si="11"/>
        <v/>
      </c>
      <c r="T45" s="13"/>
    </row>
    <row r="46" spans="2:20" hidden="1" x14ac:dyDescent="0.2">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69"/>
      <c r="S46" s="2" t="str">
        <f t="shared" si="11"/>
        <v/>
      </c>
      <c r="T46" s="13"/>
    </row>
    <row r="47" spans="2:20" x14ac:dyDescent="0.2">
      <c r="B47" s="12"/>
      <c r="C47" s="10" t="s">
        <v>225</v>
      </c>
      <c r="D47" s="10"/>
      <c r="E47" s="10"/>
      <c r="F47" s="16"/>
      <c r="G47" s="16"/>
      <c r="H47" s="16"/>
      <c r="I47" s="16"/>
      <c r="J47" s="16"/>
      <c r="K47" s="16"/>
      <c r="L47" s="16"/>
      <c r="M47" s="16"/>
      <c r="N47" s="16"/>
      <c r="O47" s="16"/>
      <c r="P47" s="16"/>
      <c r="Q47" s="16"/>
      <c r="R47" s="200">
        <f>SUM(R32:R46)</f>
        <v>1.0166666666666668</v>
      </c>
      <c r="S47" s="16" t="s">
        <v>11</v>
      </c>
      <c r="T47" s="13"/>
    </row>
    <row r="48" spans="2:20" x14ac:dyDescent="0.2">
      <c r="B48" s="12"/>
      <c r="C48" t="str">
        <f>IF(D32="","","(=y1")&amp;IF(D33="","","+y2")&amp;IF(D34="","","+y3")&amp;IF(D35="","","+y4")&amp;IF(D36="","","+y5")&amp;IF(D37="","","+y6")&amp;IF(D38="","","+y7")&amp;IF(D39="","","+y8")&amp;IF(D40="","","+y9")&amp;IF(D41="","","+y10")&amp;IF(D42="","","+y11")&amp;IF(D43="","","+y12")&amp;IF(D44="","","+y13")&amp;IF(D45="","","+y14")&amp;IF(D46="","","+y15")&amp;IF(D32="","",")")</f>
        <v>(=y1+y2+y3+y4+y5)</v>
      </c>
      <c r="F48" s="2"/>
      <c r="G48" s="2"/>
      <c r="H48" s="2"/>
      <c r="I48" s="2"/>
      <c r="J48" s="2"/>
      <c r="K48" s="2"/>
      <c r="L48" s="2"/>
      <c r="M48" s="2"/>
      <c r="N48" s="2"/>
      <c r="O48" s="2"/>
      <c r="P48" s="2"/>
      <c r="Q48" s="2"/>
      <c r="R48" s="6"/>
      <c r="S48" s="2"/>
      <c r="T48" s="13"/>
    </row>
    <row r="49" spans="2:21" ht="13.8" thickBot="1" x14ac:dyDescent="0.25">
      <c r="B49" s="12"/>
      <c r="F49" s="2"/>
      <c r="G49" s="2"/>
      <c r="H49" s="2"/>
      <c r="I49" s="2"/>
      <c r="J49" s="2"/>
      <c r="K49" s="2"/>
      <c r="L49" s="2"/>
      <c r="M49" s="2"/>
      <c r="N49" s="2"/>
      <c r="O49" s="2"/>
      <c r="P49" s="2"/>
      <c r="Q49" s="2"/>
      <c r="R49" s="6"/>
      <c r="S49" s="2"/>
      <c r="T49" s="13"/>
    </row>
    <row r="50" spans="2:21" ht="13.8" thickBot="1" x14ac:dyDescent="0.25">
      <c r="B50" s="12"/>
      <c r="C50" s="7" t="s">
        <v>223</v>
      </c>
      <c r="E50" s="4"/>
      <c r="F50" s="168"/>
      <c r="G50" s="2"/>
      <c r="H50" s="167" t="s">
        <v>195</v>
      </c>
      <c r="I50" s="164">
        <f>R29</f>
        <v>7.0000000000000009</v>
      </c>
      <c r="J50" s="2" t="s">
        <v>11</v>
      </c>
      <c r="K50" s="2" t="s">
        <v>12</v>
      </c>
      <c r="L50" s="199">
        <f>R47</f>
        <v>1.0166666666666668</v>
      </c>
      <c r="M50" s="8" t="s">
        <v>200</v>
      </c>
      <c r="N50" s="2" t="s">
        <v>13</v>
      </c>
      <c r="O50" s="164">
        <f>R29</f>
        <v>7.0000000000000009</v>
      </c>
      <c r="P50" s="2" t="s">
        <v>11</v>
      </c>
      <c r="Q50" s="2" t="s">
        <v>10</v>
      </c>
      <c r="R50" s="201">
        <f>ROUND((I50-L50)/O50,2)</f>
        <v>0.85</v>
      </c>
      <c r="S50" s="2" t="s">
        <v>14</v>
      </c>
      <c r="T50" s="13"/>
    </row>
    <row r="51" spans="2:21" x14ac:dyDescent="0.2">
      <c r="B51" s="12"/>
      <c r="C51" s="22" t="s">
        <v>15</v>
      </c>
      <c r="E51" s="22"/>
      <c r="F51" s="2"/>
      <c r="G51" s="2"/>
      <c r="H51" s="2"/>
      <c r="I51" s="2"/>
      <c r="J51" s="2"/>
      <c r="K51" s="2"/>
      <c r="L51" s="2"/>
      <c r="M51" s="2"/>
      <c r="N51" s="2"/>
      <c r="O51" s="2"/>
      <c r="P51" s="2"/>
      <c r="Q51" s="2"/>
      <c r="R51" s="2"/>
      <c r="S51" s="2"/>
      <c r="T51" s="13"/>
    </row>
    <row r="52" spans="2:21" ht="13.8" thickBot="1" x14ac:dyDescent="0.25">
      <c r="B52" s="12"/>
      <c r="C52" s="22"/>
      <c r="E52" s="22"/>
      <c r="F52" s="2"/>
      <c r="G52" s="2"/>
      <c r="H52" s="2"/>
      <c r="I52" s="2"/>
      <c r="J52" s="2"/>
      <c r="K52" s="2"/>
      <c r="L52" s="2"/>
      <c r="M52" s="2"/>
      <c r="N52" s="2"/>
      <c r="O52" s="2"/>
      <c r="P52" s="2"/>
      <c r="Q52" s="2"/>
      <c r="R52" s="2"/>
      <c r="S52" s="2"/>
      <c r="T52" s="13"/>
    </row>
    <row r="53" spans="2:21" ht="13.8" thickBot="1" x14ac:dyDescent="0.25">
      <c r="B53" s="12"/>
      <c r="C53" s="22" t="s">
        <v>16</v>
      </c>
      <c r="E53" s="22"/>
      <c r="F53" s="2"/>
      <c r="G53" s="2"/>
      <c r="H53" s="2"/>
      <c r="I53" s="2"/>
      <c r="J53" s="2"/>
      <c r="K53" s="2"/>
      <c r="L53" s="2"/>
      <c r="M53" s="2"/>
      <c r="N53" s="2"/>
      <c r="O53" s="2"/>
      <c r="P53" s="2"/>
      <c r="Q53" s="2"/>
      <c r="R53" s="202" t="str">
        <f>IF(R50&gt;=0.2,"適格","不適")</f>
        <v>適格</v>
      </c>
      <c r="S53" s="2"/>
      <c r="T53" s="13"/>
    </row>
    <row r="54" spans="2:21" x14ac:dyDescent="0.2">
      <c r="B54" s="14"/>
      <c r="C54" s="1"/>
      <c r="D54" s="18"/>
      <c r="E54" s="18"/>
      <c r="F54" s="3"/>
      <c r="G54" s="3"/>
      <c r="H54" s="3"/>
      <c r="I54" s="3"/>
      <c r="J54" s="3"/>
      <c r="K54" s="3"/>
      <c r="L54" s="3"/>
      <c r="M54" s="3"/>
      <c r="N54" s="3"/>
      <c r="O54" s="3"/>
      <c r="P54" s="3"/>
      <c r="Q54" s="3"/>
      <c r="R54" s="3"/>
      <c r="S54" s="3"/>
      <c r="T54" s="15"/>
    </row>
    <row r="55" spans="2:21" x14ac:dyDescent="0.2">
      <c r="U55" s="19" t="s">
        <v>6</v>
      </c>
    </row>
    <row r="56" spans="2:21" ht="5.25" customHeight="1" thickBot="1" x14ac:dyDescent="0.25">
      <c r="M56" s="9"/>
      <c r="N56" s="10"/>
      <c r="O56" s="10"/>
      <c r="P56" s="10"/>
      <c r="Q56" s="10"/>
      <c r="R56" s="10"/>
      <c r="S56" s="10"/>
      <c r="T56" s="11"/>
    </row>
    <row r="57" spans="2:21" ht="16.8" thickBot="1" x14ac:dyDescent="0.25">
      <c r="M57" s="12"/>
      <c r="N57" s="87" t="s">
        <v>119</v>
      </c>
      <c r="R57" s="203" t="str">
        <f>IF(審査結果="適格","〇","△")</f>
        <v>〇</v>
      </c>
      <c r="T57" s="13"/>
    </row>
    <row r="58" spans="2:21" ht="5.25" customHeight="1" x14ac:dyDescent="0.2">
      <c r="M58" s="14"/>
      <c r="N58" s="1"/>
      <c r="O58" s="1"/>
      <c r="P58" s="1"/>
      <c r="Q58" s="1"/>
      <c r="R58" s="1"/>
      <c r="S58" s="1"/>
      <c r="T58" s="15"/>
    </row>
  </sheetData>
  <sheetProtection algorithmName="SHA-512" hashValue="IZxZL665GinKPZsFZocknJ+q2rDAGwT9ByT0bWa66pUebVN0gpBYi/BPBFRCZSFMkDEQDJCwIklm1DPzVA6S8g==" saltValue="HsiuMs8ex2uZJtW+DBwT6Q=="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6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Props1.xml><?xml version="1.0" encoding="utf-8"?>
<ds:datastoreItem xmlns:ds="http://schemas.openxmlformats.org/officeDocument/2006/customXml" ds:itemID="{06AC59F6-F957-4340-94CE-725C97FF8C84}">
  <ds:schemaRefs>
    <ds:schemaRef ds:uri="http://schemas.microsoft.com/sharepoint/v3/contenttype/forms"/>
  </ds:schemaRefs>
</ds:datastoreItem>
</file>

<file path=customXml/itemProps2.xml><?xml version="1.0" encoding="utf-8"?>
<ds:datastoreItem xmlns:ds="http://schemas.openxmlformats.org/officeDocument/2006/customXml" ds:itemID="{2B6801CA-6A96-4236-B21F-77617047A258}"/>
</file>

<file path=customXml/itemProps3.xml><?xml version="1.0" encoding="utf-8"?>
<ds:datastoreItem xmlns:ds="http://schemas.openxmlformats.org/officeDocument/2006/customXml" ds:itemID="{583306E8-0A06-4B7A-B7BF-DC5FC6F68A33}">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5096ed87-1394-41ba-9857-c6b625d49cbd"/>
    <ds:schemaRef ds:uri="http://schemas.openxmlformats.org/package/2006/metadata/core-properties"/>
    <ds:schemaRef ds:uri="307f33d5-412e-42f7-880e-964369499a37"/>
    <ds:schemaRef ds:uri="http://www.w3.org/XML/1998/namespace"/>
    <ds:schemaRef ds:uri="http://purl.org/dc/dcmitype/"/>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44</vt:i4>
      </vt:variant>
    </vt:vector>
  </HeadingPairs>
  <TitlesOfParts>
    <vt:vector size="54"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加工機種類</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想定導入機器台数</vt:lpstr>
      <vt:lpstr>日当たり木板加工枚数</vt:lpstr>
      <vt:lpstr>納入先</vt:lpstr>
      <vt:lpstr>平均納品金額</vt:lpstr>
      <vt:lpstr>保守サポート体制</vt:lpstr>
      <vt:lpstr>法人番号</vt:lpstr>
      <vt:lpstr>木板1枚当たりダボ穴加工数</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2025-12-12T11:28:16Z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