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ED579F1-4C92-495E-BF27-7A4EC93567DF}" xr6:coauthVersionLast="47" xr6:coauthVersionMax="47" xr10:uidLastSave="{00000000-0000-0000-0000-000000000000}"/>
  <workbookProtection workbookAlgorithmName="SHA-512" workbookHashValue="Ot/oAQby4/I57C8jhFL4p4x2F7pwKe8Cls3TRLHZBy4BeEw3G9q718/2vFwAElhGFd8JLvpHSLVrKWJAhFTY4A==" workbookSaltValue="jflpR+FvX2TkWV7Mu+Gu5w==" workbookSpinCount="100000" lockStructure="1"/>
  <bookViews>
    <workbookView xWindow="1920" yWindow="1920" windowWidth="24420" windowHeight="227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週間当たり点検箇所数">利用が想定される中小企業!$D$4</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50" l="1"/>
  <c r="R20" i="50"/>
  <c r="R14" i="50"/>
  <c r="L19" i="50"/>
  <c r="L18" i="50"/>
  <c r="L17" i="50"/>
  <c r="L16" i="50"/>
  <c r="L15" i="50"/>
  <c r="C2" i="35" l="1"/>
  <c r="R19" i="50" l="1"/>
  <c r="R18" i="50"/>
  <c r="R17" i="50"/>
  <c r="R16" i="50"/>
  <c r="R15" i="50"/>
  <c r="D5" i="52"/>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<sst xmlns="http://schemas.openxmlformats.org/spreadsheetml/2006/main" count="353" uniqueCount="254">
  <si>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</si>
  <si>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</si>
  <si>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</si>
  <si>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</si>
  <si>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</si>
  <si>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</si>
  <si>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</si>
  <si>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</si>
  <si>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</si>
  <si>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</si>
  <si>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</si>
  <si>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</si>
  <si>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</si>
  <si>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</si>
  <si>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</si>
  <si>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</si>
  <si>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</si>
  <si>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</si>
  <si>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</si>
  <si>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</si>
  <si>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</si>
  <si>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</si>
  <si>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</si>
  <si>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</si>
  <si>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</si>
  <si>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</si>
  <si>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</si>
  <si>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</si>
  <si>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</si>
  <si>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</si>
  <si>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</si>
  <si>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</si>
  <si>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</si>
  <si>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</si>
  <si>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</si>
  <si>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</si>
  <si>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</si>
  <si>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</si>
  <si>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</si>
  <si>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</si>
  <si>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</si>
  <si>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</si>
  <si>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</si>
  <si>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</si>
  <si>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</si>
  <si>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</si>
  <si>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</si>
  <si>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</si>
  <si>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</si>
  <si>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</si>
  <si>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</si>
  <si>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</si>
  <si>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</si>
  <si>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</si>
  <si>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</si>
  <si>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</si>
  <si>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</si>
  <si>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</si>
  <si>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</si>
  <si>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</si>
  <si>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</si>
  <si>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</si>
  <si>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</si>
  <si>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</si>
  <si>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</si>
  <si>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</si>
  <si>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</si>
  <si>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</si>
  <si>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</si>
  <si>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</si>
  <si>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</si>
  <si>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</si>
  <si>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</si>
  <si>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</si>
  <si>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</si>
  <si>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</si>
  <si>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</si>
  <si>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</si>
  <si>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</si>
  <si>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</si>
  <si>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</si>
  <si>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</si>
  <si>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</si>
  <si>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</si>
  <si>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</si>
  <si>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</si>
  <si>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</si>
  <si>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</si>
  <si>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</si>
  <si>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</si>
  <si>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</si>
  <si>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</si>
  <si>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</si>
  <si>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</si>
  <si>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</si>
  <si>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</si>
  <si>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</si>
  <si>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</si>
  <si>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</si>
  <si>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</si>
  <si>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</si>
  <si>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</si>
  <si>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</si>
  <si>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</si>
  <si>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</si>
  <si>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</si>
  <si>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</si>
  <si>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</si>
  <si>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</si>
  <si>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</si>
  <si>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</si>
  <si>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</si>
  <si>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</si>
  <si>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</si>
  <si>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</si>
  <si>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</si>
  <si>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</si>
  <si>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</si>
  <si>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</si>
  <si>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</si>
  <si>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</si>
  <si>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</si>
  <si>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</si>
  <si>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</si>
  <si>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</si>
  <si>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</si>
  <si>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</si>
  <si>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</si>
  <si>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</si>
  <si>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</si>
  <si>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</si>
  <si>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</si>
  <si>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</si>
  <si>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</si>
  <si>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</si>
  <si>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</si>
  <si>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</si>
  <si>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</si>
  <si>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</si>
  <si>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</si>
  <si>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</si>
  <si>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</si>
  <si>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</si>
  <si>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</si>
  <si>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</si>
  <si>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</si>
  <si>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</si>
  <si>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</si>
  <si>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</si>
  <si>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</si>
  <si>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</si>
  <si>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</si>
  <si>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</si>
  <si>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</si>
  <si>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</si>
  <si>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</si>
  <si>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</si>
  <si>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</si>
  <si>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</si>
  <si>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</si>
  <si>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</si>
  <si>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</si>
  <si>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</si>
  <si>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</si>
  <si>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</si>
  <si>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</si>
  <si>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</si>
  <si>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</si>
  <si>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</si>
  <si>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</si>
  <si>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</si>
  <si>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</si>
  <si>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</si>
  <si>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</si>
  <si>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</si>
  <si>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</si>
  <si>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</si>
  <si>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</si>
  <si>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</si>
  <si>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</si>
  <si>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</si>
  <si>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</si>
  <si>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</si>
  <si>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</si>
  <si>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</si>
  <si>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</si>
  <si>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</si>
  <si>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</si>
  <si>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</si>
  <si>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</si>
  <si>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</si>
  <si>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</si>
  <si>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</si>
  <si>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</si>
  <si>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</si>
  <si>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</si>
  <si>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</si>
  <si>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</si>
  <si>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</si>
  <si>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</si>
  <si>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</si>
  <si>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</si>
  <si>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</si>
  <si>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</si>
  <si>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</si>
  <si>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</si>
  <si>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</si>
  <si>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</si>
  <si>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</si>
  <si>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</si>
  <si>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</si>
  <si>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</si>
  <si>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</si>
  <si>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</si>
  <si>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</si>
  <si>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</si>
  <si>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</si>
  <si>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</si>
  <si>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</si>
  <si>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</si>
  <si>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</si>
  <si>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</si>
  <si>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</si>
  <si>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</si>
  <si>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</si>
  <si>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</si>
  <si>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</si>
  <si>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</si>
  <si>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</si>
  <si>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</si>
  <si>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</si>
  <si>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</si>
  <si>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</si>
  <si>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</si>
  <si>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1週間当たり点検箇所数</t>
    <rPh sb="1" eb="3">
      <t>シュウカン</t>
    </rPh>
    <rPh sb="3" eb="4">
      <t>ア</t>
    </rPh>
    <rPh sb="6" eb="11">
      <t>テンケンカショスウ</t>
    </rPh>
    <phoneticPr fontId="1"/>
  </si>
  <si>
    <t>箇所/週</t>
    <rPh sb="0" eb="2">
      <t>カショ</t>
    </rPh>
    <rPh sb="3" eb="4">
      <t>シュウ</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</si>
  <si>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</si>
  <si>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</si>
  <si>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</si>
  <si>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</si>
  <si>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圧力値チェック・チャート紙交換</t>
    <rPh sb="0" eb="2">
      <t>アツリョク</t>
    </rPh>
    <rPh sb="2" eb="3">
      <t>チ</t>
    </rPh>
    <rPh sb="12" eb="13">
      <t>シ</t>
    </rPh>
    <rPh sb="13" eb="15">
      <t>コウカン</t>
    </rPh>
    <phoneticPr fontId="1"/>
  </si>
  <si>
    <t>移動</t>
    <rPh sb="0" eb="2">
      <t>イドウ</t>
    </rPh>
    <phoneticPr fontId="1"/>
  </si>
  <si>
    <t>事前準備 移動等</t>
  </si>
  <si>
    <t>ガバナ外観点検</t>
  </si>
  <si>
    <t>配管・接続部点検</t>
  </si>
  <si>
    <t>音・振動確認</t>
  </si>
  <si>
    <t>作業記録確認</t>
  </si>
  <si>
    <t>データ確認</t>
  </si>
  <si>
    <t>都市ガスガバナの遠隔監視システム</t>
    <rPh sb="0" eb="2">
      <t>トシ</t>
    </rPh>
    <rPh sb="8" eb="10">
      <t>エンカク</t>
    </rPh>
    <rPh sb="10" eb="12">
      <t>カンシ</t>
    </rPh>
    <phoneticPr fontId="1"/>
  </si>
  <si>
    <t>日本電気計測器工業会</t>
    <rPh sb="0" eb="2">
      <t>ニホン</t>
    </rPh>
    <rPh sb="2" eb="4">
      <t>デンキ</t>
    </rPh>
    <rPh sb="4" eb="7">
      <t>ケイソクキ</t>
    </rPh>
    <rPh sb="7" eb="10">
      <t>コウギョウカイ</t>
    </rPh>
    <phoneticPr fontId="1"/>
  </si>
  <si>
    <t>令和3年経済センサスより</t>
    <phoneticPr fontId="1"/>
  </si>
  <si>
    <t>÷</t>
  </si>
  <si>
    <t>[日]</t>
    <rPh sb="1" eb="2">
      <t>ヒ</t>
    </rPh>
    <phoneticPr fontId="1"/>
  </si>
  <si>
    <t>[箇所/日]</t>
    <rPh sb="1" eb="3">
      <t>カショ</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</si>
</sst>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0" borderId="45" xfId="0" applyFont="1" applyBorder="1">
      <alignment vertical="center"/>
    </xf>
    <xf numFmtId="0" fontId="42" fillId="5" borderId="73" xfId="0" applyFont="1" applyFill="1" applyBorder="1">
      <alignment vertical="center"/>
    </xf>
    <xf numFmtId="0" fontId="42" fillId="0" borderId="72"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07" t="s">
        <v>0</v>
      </c>
      <c r="B3" s="207"/>
      <c r="C3" s="207"/>
      <c r="D3" s="207"/>
      <c r="E3" s="207"/>
      <c r="F3" s="207"/>
      <c r="G3" s="207"/>
      <c r="H3" s="207"/>
      <c r="I3" s="207"/>
      <c r="J3" s="207"/>
      <c r="K3" s="207"/>
    </row>
    <row r="4" spans="1:17" ht="13.8" thickBot="1"/>
    <row r="5" spans="1:17" ht="20.25" customHeight="1" thickBot="1">
      <c r="B5" s="4" t="s">
        <v>1</v>
      </c>
      <c r="C5" s="211"/>
      <c r="D5" s="212"/>
      <c r="E5" s="212"/>
      <c r="F5" s="212"/>
      <c r="G5" s="212"/>
      <c r="H5" s="212"/>
      <c r="I5" s="213"/>
    </row>
    <row r="6" spans="1:17" ht="20.25" customHeight="1" thickBot="1">
      <c r="B6" s="4" t="s">
        <v>2</v>
      </c>
      <c r="C6" s="211"/>
      <c r="D6" s="212"/>
      <c r="E6" s="212"/>
      <c r="F6" s="212"/>
      <c r="G6" s="212"/>
      <c r="H6" s="212"/>
      <c r="I6" s="213"/>
    </row>
    <row r="8" spans="1:17" ht="39.75" customHeight="1">
      <c r="B8" s="214" t="s">
        <v>205</v>
      </c>
      <c r="C8" s="214"/>
      <c r="D8" s="214"/>
      <c r="E8" s="214"/>
      <c r="F8" s="214"/>
      <c r="G8" s="214"/>
      <c r="H8" s="214"/>
      <c r="I8" s="214"/>
      <c r="J8" s="214"/>
    </row>
    <row r="10" spans="1:17" ht="16.2">
      <c r="B10" s="6"/>
      <c r="C10" s="14" t="s">
        <v>3</v>
      </c>
      <c r="D10" s="14"/>
      <c r="E10" s="7"/>
      <c r="F10" s="7"/>
      <c r="G10" s="7"/>
      <c r="H10" s="7"/>
      <c r="I10" s="7"/>
      <c r="J10" s="8"/>
    </row>
    <row r="11" spans="1:17">
      <c r="B11" s="9"/>
      <c r="J11" s="10"/>
    </row>
    <row r="12" spans="1:17">
      <c r="B12" s="9"/>
      <c r="C12" s="36" t="s">
        <v>4</v>
      </c>
      <c r="D12" s="37"/>
      <c r="E12" s="208" t="s">
        <v>248</v>
      </c>
      <c r="F12" s="209"/>
      <c r="G12" s="209"/>
      <c r="H12" s="209"/>
      <c r="I12" s="210"/>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22"/>
      <c r="D18" s="223"/>
      <c r="E18" s="223"/>
      <c r="F18" s="223"/>
      <c r="G18" s="223"/>
      <c r="H18" s="224"/>
      <c r="I18" s="146"/>
      <c r="J18" s="10"/>
      <c r="L18" t="str">
        <f>IF(C18&lt;&gt;"",C18,"")</f>
        <v/>
      </c>
      <c r="M18" s="18" t="str">
        <f>IF(AND(C18&lt;&gt;"",I18&lt;&gt;""),I18,"")</f>
        <v/>
      </c>
      <c r="Q18" s="38" t="str">
        <f>IF(L18&lt;&gt;"",IF(M18&lt;&gt;"","OK","「あり」または「なし」を選択してください"),"")</f>
        <v/>
      </c>
    </row>
    <row r="19" spans="2:17" ht="13.95" hidden="1" customHeight="1" thickBot="1">
      <c r="B19" s="9"/>
      <c r="C19" s="225"/>
      <c r="D19" s="226"/>
      <c r="E19" s="226"/>
      <c r="F19" s="226"/>
      <c r="G19" s="226"/>
      <c r="H19" s="227"/>
      <c r="I19" s="146"/>
      <c r="J19" s="10"/>
      <c r="L19" t="str">
        <f>IF(C19&lt;&gt;"",C19,"")</f>
        <v/>
      </c>
      <c r="M19" s="18" t="str">
        <f>IF(AND(C19&lt;&gt;"",I19&lt;&gt;""),I19,"")</f>
        <v/>
      </c>
      <c r="Q19" s="38" t="str">
        <f>IF(L19&lt;&gt;"",IF(M19&lt;&gt;"","OK","「あり」または「なし」を選択してください"),"")</f>
        <v/>
      </c>
    </row>
    <row r="20" spans="2:17" ht="13.8" hidden="1" thickBot="1">
      <c r="B20" s="9"/>
      <c r="C20" s="222"/>
      <c r="D20" s="223"/>
      <c r="E20" s="223"/>
      <c r="F20" s="223"/>
      <c r="G20" s="223"/>
      <c r="H20" s="224"/>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28"/>
      <c r="D26" s="229"/>
      <c r="E26" s="230"/>
      <c r="F26" s="231"/>
      <c r="G26" s="231"/>
      <c r="H26" s="232"/>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02" t="s">
        <v>8</v>
      </c>
      <c r="D32" s="203"/>
      <c r="E32" s="204" t="s">
        <v>9</v>
      </c>
      <c r="F32" s="205"/>
      <c r="G32" s="205"/>
      <c r="H32" s="205"/>
      <c r="I32" s="206"/>
      <c r="J32" s="47"/>
    </row>
    <row r="33" spans="2:10" s="39" customFormat="1" ht="13.8" thickBot="1">
      <c r="B33" s="45"/>
      <c r="C33" s="202" t="s">
        <v>10</v>
      </c>
      <c r="D33" s="203"/>
      <c r="E33" s="204" t="s">
        <v>9</v>
      </c>
      <c r="F33" s="205"/>
      <c r="G33" s="205"/>
      <c r="H33" s="205"/>
      <c r="I33" s="206"/>
      <c r="J33" s="47"/>
    </row>
    <row r="34" spans="2:10" s="39" customFormat="1" ht="13.8" thickBot="1">
      <c r="B34" s="45"/>
      <c r="C34" s="202" t="s">
        <v>11</v>
      </c>
      <c r="D34" s="203"/>
      <c r="E34" s="204" t="s">
        <v>9</v>
      </c>
      <c r="F34" s="205"/>
      <c r="G34" s="205"/>
      <c r="H34" s="205"/>
      <c r="I34" s="206"/>
      <c r="J34" s="47"/>
    </row>
    <row r="35" spans="2:10" s="39" customFormat="1" ht="13.8" thickBot="1">
      <c r="B35" s="45"/>
      <c r="C35" s="202" t="s">
        <v>12</v>
      </c>
      <c r="D35" s="203"/>
      <c r="E35" s="204" t="s">
        <v>9</v>
      </c>
      <c r="F35" s="205"/>
      <c r="G35" s="205"/>
      <c r="H35" s="205"/>
      <c r="I35" s="206"/>
      <c r="J35" s="47"/>
    </row>
    <row r="36" spans="2:10" s="39" customFormat="1" ht="13.8" thickBot="1">
      <c r="B36" s="45"/>
      <c r="C36" s="202" t="s">
        <v>13</v>
      </c>
      <c r="D36" s="203"/>
      <c r="E36" s="204" t="s">
        <v>9</v>
      </c>
      <c r="F36" s="205"/>
      <c r="G36" s="205"/>
      <c r="H36" s="205"/>
      <c r="I36" s="206"/>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7" t="s">
        <v>15</v>
      </c>
      <c r="D40" s="219"/>
      <c r="E40" s="217"/>
      <c r="F40" s="218"/>
      <c r="G40" s="218"/>
      <c r="H40" s="218"/>
      <c r="I40" s="219"/>
    </row>
    <row r="41" spans="2:10" s="39" customFormat="1">
      <c r="C41" s="220"/>
      <c r="D41" s="220"/>
      <c r="E41" s="220"/>
      <c r="F41" s="220"/>
      <c r="G41" s="220"/>
      <c r="H41" s="220"/>
      <c r="I41" s="220"/>
    </row>
    <row r="42" spans="2:10" s="39" customFormat="1">
      <c r="C42" s="215" t="s">
        <v>16</v>
      </c>
      <c r="D42" s="216"/>
      <c r="E42" s="215"/>
      <c r="F42" s="221"/>
      <c r="G42" s="221"/>
      <c r="H42" s="221"/>
      <c r="I42" s="216"/>
    </row>
    <row r="43" spans="2:10" s="39" customFormat="1">
      <c r="C43" s="215" t="s">
        <v>17</v>
      </c>
      <c r="D43" s="216"/>
      <c r="E43" s="215"/>
      <c r="F43" s="221"/>
      <c r="G43" s="221"/>
      <c r="H43" s="221"/>
      <c r="I43" s="216"/>
    </row>
    <row r="44" spans="2:10" s="39" customFormat="1">
      <c r="C44" s="215" t="s">
        <v>18</v>
      </c>
      <c r="D44" s="216"/>
      <c r="E44" s="215"/>
      <c r="F44" s="221"/>
      <c r="G44" s="221"/>
      <c r="H44" s="221"/>
      <c r="I44" s="216"/>
    </row>
    <row r="45" spans="2:10" s="39" customFormat="1">
      <c r="C45" s="215" t="s">
        <v>19</v>
      </c>
      <c r="D45" s="216"/>
      <c r="E45" s="215"/>
      <c r="F45" s="221"/>
      <c r="G45" s="221"/>
      <c r="H45" s="221"/>
      <c r="I45" s="216"/>
    </row>
    <row r="46" spans="2:10" s="39" customFormat="1">
      <c r="C46" s="215" t="s">
        <v>20</v>
      </c>
      <c r="D46" s="216"/>
      <c r="E46" s="215"/>
      <c r="F46" s="221"/>
      <c r="G46" s="221"/>
      <c r="H46" s="221"/>
      <c r="I46" s="216"/>
    </row>
  </sheetData>
  <sheetProtection algorithmName="SHA-512" hashValue="LtrrOPrp0lQA2JA1E40unGJBYtilqBH4iCmDqYkiVMHXNdBwlNN6O/n8ClGQ2pOHTtfaJPAzjRLcvgp/YbiElg==" saltValue="ZeA0HWdhvWtV55usDs2UL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8E67-2856-451F-A7C8-F240075A21A8}">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0" style="166" customWidth="1"/>
    <col min="3" max="4" width="16.33203125" style="166" customWidth="1"/>
    <col min="5" max="5" width="39.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8.8" customHeight="1">
      <c r="A1" s="481" t="s">
        <v>202</v>
      </c>
      <c r="B1" s="481"/>
      <c r="C1" s="172" t="s">
        <v>200</v>
      </c>
      <c r="D1" s="172" t="s">
        <v>203</v>
      </c>
      <c r="E1" s="172" t="s">
        <v>204</v>
      </c>
    </row>
    <row r="2" spans="1:5" ht="58.8" customHeight="1">
      <c r="A2" s="200" t="s">
        <v>227</v>
      </c>
      <c r="B2" s="189" t="s">
        <v>228</v>
      </c>
      <c r="C2" s="190" t="s">
        <v>229</v>
      </c>
      <c r="D2" s="187">
        <v>23.129310344827587</v>
      </c>
      <c r="E2" s="186" t="s">
        <v>250</v>
      </c>
    </row>
    <row r="3" spans="1:5" ht="58.8" customHeight="1">
      <c r="A3" s="201" t="s">
        <v>230</v>
      </c>
      <c r="B3" s="191" t="s">
        <v>231</v>
      </c>
      <c r="C3" s="188" t="s">
        <v>232</v>
      </c>
      <c r="D3" s="187">
        <v>8</v>
      </c>
      <c r="E3" s="192"/>
    </row>
    <row r="4" spans="1:5" ht="58.8" customHeight="1">
      <c r="A4" s="200" t="s">
        <v>233</v>
      </c>
      <c r="B4" s="191" t="s">
        <v>234</v>
      </c>
      <c r="C4" s="188" t="s">
        <v>235</v>
      </c>
      <c r="D4" s="187">
        <v>10</v>
      </c>
      <c r="E4" s="193" t="s">
        <v>236</v>
      </c>
    </row>
    <row r="5" spans="1:5" s="194" customFormat="1" ht="58.8" customHeight="1">
      <c r="A5" s="196" t="s">
        <v>237</v>
      </c>
      <c r="B5" s="197" t="s">
        <v>238</v>
      </c>
      <c r="C5" s="195" t="s">
        <v>239</v>
      </c>
      <c r="D5" s="198">
        <f>ROUNDUP(((0+5)/60)/D3,0)</f>
        <v>1</v>
      </c>
      <c r="E5" s="199"/>
    </row>
  </sheetData>
  <sheetProtection algorithmName="SHA-512" hashValue="Vrwo13T/fXHWDgEjZqgS2UnRBelJN9k2zvmiItcHPt+MX+noETSy5GgurpVkzsbHvEqr493C3pE0U4sW7AOuew==" saltValue="nOIw7UJwZXlVMSpZ8c6Gn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c r="A3" s="249" t="str">
        <f>"【"&amp;製品カテゴリ&amp;"】"</f>
        <v>【都市ガスガバナの遠隔監視システム】</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99" t="s">
        <v>42</v>
      </c>
      <c r="C42" s="300"/>
      <c r="D42" s="300"/>
      <c r="E42" s="300"/>
      <c r="F42" s="300"/>
      <c r="G42" s="300"/>
      <c r="H42" s="300"/>
      <c r="I42" s="309"/>
      <c r="J42" s="311" t="str">
        <f>製品カテゴリ</f>
        <v>都市ガスガバナの遠隔監視システム</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c r="A57" s="249" t="str">
        <f>"【"&amp;製品カテゴリ&amp;"】"</f>
        <v>【都市ガスガバナの遠隔監視システム】</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Wia1nftGikg3lfDKGJDLjRBT/m7YlYWveszcIRM8MRQmGJWrJMXg9vmYuaL0Q6VdUqx0WbFQtc6S80jxbkoi9Q==" saltValue="EvteCgSkxMUx9iLQF6Rzf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5" t="s">
        <v>119</v>
      </c>
      <c r="J2" s="405"/>
      <c r="K2" t="s">
        <v>166</v>
      </c>
    </row>
    <row r="3" spans="1:21" customFormat="1" ht="13.2">
      <c r="A3" t="s">
        <v>212</v>
      </c>
      <c r="I3" s="406" t="s">
        <v>165</v>
      </c>
      <c r="J3" s="406"/>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28" t="s">
        <v>57</v>
      </c>
      <c r="C8" s="228"/>
      <c r="D8" s="88">
        <f>製造事業者名</f>
        <v>0</v>
      </c>
      <c r="E8" s="228" t="s">
        <v>51</v>
      </c>
      <c r="F8" s="228"/>
      <c r="G8" s="404">
        <f>製品名称</f>
        <v>0</v>
      </c>
      <c r="H8" s="404"/>
    </row>
    <row r="9" spans="1:21" customFormat="1" ht="33" customHeight="1" thickBot="1">
      <c r="B9" s="228" t="s">
        <v>161</v>
      </c>
      <c r="C9" s="228"/>
      <c r="D9" s="114"/>
      <c r="E9" s="407" t="s">
        <v>52</v>
      </c>
      <c r="F9" s="228"/>
      <c r="G9" s="404">
        <f>型番</f>
        <v>0</v>
      </c>
      <c r="H9" s="404"/>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gG5RTBFKzYz3Xw9dwE0qRV00VNuB3ad/ddgMMagsAJBGtXs3fjLiTHvDG36QosbWoGnkAGrhguSl7HtUARx7aw==" saltValue="dtiVdlIto1/yAAjcb2XlKA=="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c r="A3" s="249" t="str">
        <f>"【"&amp;製品カテゴリ&amp;"】"</f>
        <v>【都市ガスガバナの遠隔監視システム】</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023EySP58TFKx6kq+3fmfXPp8ByFxHcT8CU+5ucZIG8/xaVlsxZw47oet0UEm2flayZdir5mZC6yo2uyE5tggA==" saltValue="mL+Iia6Oh74Veuem+d/wW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c r="A3" s="236" t="str">
        <f>"【"&amp;製品カテゴリ&amp;"】"</f>
        <v>【都市ガスガバナの遠隔監視システム】</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c r="A70" s="236" t="str">
        <f>"【"&amp;製品カテゴリ&amp;"】"</f>
        <v>【都市ガスガバナの遠隔監視システム】</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qAl28SeXRdn56+PO7u/9fMnD3ycg+iwA5JTAYtqMi57PT5gXomL+xJoQllKhTrRvvORbTbChfZFvtWVHRBrnkA==" saltValue="GDPRBOzMMb0t9sp7yGPwyQ=="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8ogkS4DjzI+e9GbGSM9GvfiAxHWude61nnm+WOfJlJWIwl6Q8OIahAPSyZsU/YRBXoyTueDSOPPv+8saqLplnw==" saltValue="N3l7tY2f4Tqk1j80RcDL8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5" t="s">
        <v>110</v>
      </c>
      <c r="B2" s="475"/>
      <c r="C2" s="56" t="str">
        <f>"CT0173-"&amp;E4</f>
        <v>CT0173-</v>
      </c>
    </row>
    <row r="3" spans="1:9">
      <c r="G3" s="39" t="s">
        <v>129</v>
      </c>
    </row>
    <row r="4" spans="1:9">
      <c r="B4" s="58" t="s">
        <v>4</v>
      </c>
      <c r="C4" s="61" t="str">
        <f>製品カテゴリ</f>
        <v>都市ガスガバナの遠隔監視システム</v>
      </c>
      <c r="D4" s="62" t="s">
        <v>111</v>
      </c>
      <c r="E4" s="81" t="s">
        <v>128</v>
      </c>
      <c r="G4" s="474" t="str">
        <f>省力化機能パラメータ</f>
        <v>省力化パラメータなし</v>
      </c>
      <c r="H4" s="474"/>
      <c r="I4" s="474"/>
    </row>
    <row r="5" spans="1:9">
      <c r="B5" s="58" t="s">
        <v>112</v>
      </c>
      <c r="C5" s="56">
        <f>製造事業者名</f>
        <v>0</v>
      </c>
      <c r="E5" s="80" t="str">
        <f>IF(LEN(E4)=6,"OK","入力してください")</f>
        <v>入力してください</v>
      </c>
      <c r="G5" s="474"/>
      <c r="H5" s="474"/>
      <c r="I5" s="474"/>
    </row>
    <row r="6" spans="1:9">
      <c r="B6" s="58" t="s">
        <v>113</v>
      </c>
      <c r="C6" s="56">
        <f>型番</f>
        <v>0</v>
      </c>
      <c r="G6" s="474"/>
      <c r="H6" s="474"/>
      <c r="I6" s="474"/>
    </row>
    <row r="7" spans="1:9">
      <c r="B7" s="42"/>
      <c r="C7" s="184"/>
      <c r="G7" s="474"/>
      <c r="H7" s="474"/>
      <c r="I7" s="474"/>
    </row>
    <row r="8" spans="1:9">
      <c r="C8" s="185"/>
      <c r="G8" s="474"/>
      <c r="H8" s="474"/>
      <c r="I8" s="474"/>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0.99</v>
      </c>
      <c r="E12" s="151" t="str">
        <f>審査結果</f>
        <v>適格</v>
      </c>
      <c r="F12" s="152"/>
      <c r="G12" s="77" t="s">
        <v>191</v>
      </c>
      <c r="H12" s="153" t="str">
        <f>E12</f>
        <v>適格</v>
      </c>
    </row>
  </sheetData>
  <sheetProtection algorithmName="SHA-512" hashValue="CbATAG/hpCLVi3Xl7jcIa8cHFOQczAlVxBf0oaNfGsARUBObW5mLTg22UGNA/xb2KQ2l3ClhGDkyuZOQeChODQ==" saltValue="FvbvXy1wVv8/nbaIL9D3x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PsAgN5XAPLx6Jl0REm7Xobgxc9rmpLF2i0bUnkK7Fn2yKsuZkrKUkHS03gtWU3fHH91Oz71Zfk6/SsQk4Hcs0Q==" saltValue="q2C+vP2bS5F6c/S9yQ/e3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07" t="s">
        <v>192</v>
      </c>
      <c r="E2" s="207"/>
      <c r="F2" s="207"/>
      <c r="G2" s="207"/>
      <c r="H2" s="207"/>
      <c r="I2" s="207"/>
      <c r="J2" s="207"/>
      <c r="K2" s="207"/>
      <c r="L2" s="207"/>
      <c r="M2" s="207"/>
      <c r="N2" s="207"/>
      <c r="O2" s="207"/>
      <c r="P2" s="207"/>
      <c r="Q2" s="207"/>
      <c r="R2" s="207"/>
      <c r="S2" s="207"/>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【都市ガスガバナの遠隔監視システム】</v>
      </c>
      <c r="D4" s="167"/>
      <c r="E4" s="173"/>
      <c r="F4" s="173"/>
      <c r="G4" s="173"/>
      <c r="H4" s="173"/>
      <c r="I4" s="173"/>
      <c r="J4" s="173"/>
      <c r="K4" s="173"/>
      <c r="L4" s="173"/>
      <c r="M4" s="173"/>
      <c r="N4" s="16"/>
      <c r="O4" s="16"/>
      <c r="P4" s="477" t="s">
        <v>249</v>
      </c>
      <c r="Q4" s="477"/>
      <c r="R4" s="477"/>
      <c r="S4" s="477"/>
    </row>
    <row r="5" spans="2:20" ht="7.5" customHeight="1">
      <c r="D5" s="173"/>
      <c r="E5" s="173"/>
      <c r="F5" s="173"/>
      <c r="G5" s="173"/>
      <c r="H5" s="173"/>
      <c r="I5" s="173"/>
      <c r="J5" s="173"/>
      <c r="K5" s="173"/>
      <c r="L5" s="173"/>
      <c r="M5" s="173"/>
      <c r="N5" s="173"/>
      <c r="O5" s="173"/>
      <c r="P5" s="173"/>
      <c r="Q5" s="173"/>
      <c r="R5" s="173"/>
      <c r="S5" s="173"/>
    </row>
    <row r="6" spans="2:20">
      <c r="D6" s="4" t="s">
        <v>1</v>
      </c>
      <c r="E6" s="478">
        <f>製造事業者名</f>
        <v>0</v>
      </c>
      <c r="F6" s="478"/>
      <c r="G6" s="478"/>
      <c r="H6" s="478"/>
      <c r="I6" s="478"/>
      <c r="J6" s="478"/>
      <c r="K6" s="478"/>
      <c r="L6" s="478"/>
      <c r="M6" s="478"/>
      <c r="N6" s="478"/>
      <c r="O6" s="478"/>
      <c r="P6" s="478"/>
    </row>
    <row r="7" spans="2:20">
      <c r="D7" s="4" t="s">
        <v>2</v>
      </c>
      <c r="E7" s="479">
        <f>型番</f>
        <v>0</v>
      </c>
      <c r="F7" s="479"/>
      <c r="G7" s="479"/>
      <c r="H7" s="479"/>
      <c r="I7" s="479"/>
      <c r="J7" s="479"/>
      <c r="K7" s="479"/>
      <c r="L7" s="479"/>
      <c r="M7" s="479"/>
      <c r="N7" s="479"/>
      <c r="O7" s="479"/>
      <c r="P7" s="479"/>
    </row>
    <row r="9" spans="2:20" ht="13.5" customHeight="1">
      <c r="C9" s="480" t="s">
        <v>217</v>
      </c>
      <c r="D9" s="480"/>
      <c r="E9" s="480"/>
      <c r="F9" s="480"/>
      <c r="G9" s="480"/>
      <c r="H9" s="480"/>
      <c r="I9" s="480"/>
      <c r="J9" s="480"/>
      <c r="K9" s="480"/>
      <c r="L9" s="480"/>
      <c r="M9" s="480"/>
      <c r="N9" s="480"/>
      <c r="O9" s="480"/>
      <c r="P9" s="480"/>
      <c r="Q9" s="480"/>
      <c r="R9" s="480"/>
      <c r="S9" s="480"/>
      <c r="T9" s="154"/>
    </row>
    <row r="10" spans="2:20" ht="13.5" customHeight="1">
      <c r="C10" s="480"/>
      <c r="D10" s="480"/>
      <c r="E10" s="480"/>
      <c r="F10" s="480"/>
      <c r="G10" s="480"/>
      <c r="H10" s="480"/>
      <c r="I10" s="480"/>
      <c r="J10" s="480"/>
      <c r="K10" s="480"/>
      <c r="L10" s="480"/>
      <c r="M10" s="480"/>
      <c r="N10" s="480"/>
      <c r="O10" s="480"/>
      <c r="P10" s="480"/>
      <c r="Q10" s="480"/>
      <c r="R10" s="480"/>
      <c r="S10" s="480"/>
      <c r="T10" s="174"/>
    </row>
    <row r="12" spans="2:20" ht="16.2">
      <c r="B12" s="6"/>
      <c r="C12" s="476" t="s">
        <v>114</v>
      </c>
      <c r="D12" s="476"/>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242</v>
      </c>
      <c r="E14" s="2"/>
      <c r="F14" s="162"/>
      <c r="G14" s="2"/>
      <c r="I14" s="162">
        <v>10</v>
      </c>
      <c r="J14" s="2" t="str">
        <f>IF(O14=60,"[分/回]",IF(O14=3600,"[秒/回]",""))</f>
        <v>[分/回]</v>
      </c>
      <c r="K14" s="2" t="s">
        <v>251</v>
      </c>
      <c r="L14" s="162">
        <v>5</v>
      </c>
      <c r="M14" s="2" t="s">
        <v>252</v>
      </c>
      <c r="N14" s="2" t="str">
        <f>IF(L14&lt;&gt;"","÷","")</f>
        <v>÷</v>
      </c>
      <c r="O14" s="162">
        <v>60</v>
      </c>
      <c r="P14" s="2" t="str">
        <f>IF(O14=60,"[分/時間]",IF(O14=3600,"[秒/時間]",""))</f>
        <v>[分/時間]</v>
      </c>
      <c r="Q14" s="2" t="str">
        <f>IF(O14&lt;&gt;"","=","")</f>
        <v>=</v>
      </c>
      <c r="R14" s="165">
        <f>(10/60)/5</f>
        <v>3.3333333333333333E-2</v>
      </c>
      <c r="S14" s="2" t="str">
        <f>IF(R14&lt;&gt;"","[時間/日]","")</f>
        <v>[時間/日]</v>
      </c>
      <c r="T14" s="10"/>
    </row>
    <row r="15" spans="2:20">
      <c r="B15" s="9"/>
      <c r="C15" s="87" t="str">
        <f>IF(D15&lt;&gt;"","x2：","")</f>
        <v>x2：</v>
      </c>
      <c r="D15" t="s">
        <v>243</v>
      </c>
      <c r="E15" s="2"/>
      <c r="F15" s="162"/>
      <c r="G15" s="2"/>
      <c r="I15" s="162">
        <v>5</v>
      </c>
      <c r="J15" s="2" t="str">
        <f t="shared" ref="J15:J28" si="0">IF(O15=60,"[分/回]",IF(O15=3600,"[秒/回]",""))</f>
        <v>[分/回]</v>
      </c>
      <c r="K15" s="2" t="str">
        <f t="shared" ref="K15:K28" si="1">IF(I15&lt;&gt;"","×","")</f>
        <v>×</v>
      </c>
      <c r="L15" s="162">
        <f>週間当たり点検箇所数/5</f>
        <v>2</v>
      </c>
      <c r="M15" s="2" t="s">
        <v>253</v>
      </c>
      <c r="N15" s="2" t="str">
        <f t="shared" ref="N15:N28" si="2">IF(L15&lt;&gt;"","÷","")</f>
        <v>÷</v>
      </c>
      <c r="O15" s="162">
        <v>60</v>
      </c>
      <c r="P15" s="2" t="str">
        <f t="shared" ref="P15:P28" si="3">IF(O15=60,"[分/時間]",IF(O15=3600,"[秒/時間]",""))</f>
        <v>[分/時間]</v>
      </c>
      <c r="Q15" s="2" t="str">
        <f t="shared" ref="Q15:Q28" si="4">IF(O15&lt;&gt;"","=","")</f>
        <v>=</v>
      </c>
      <c r="R15" s="165">
        <f>((5/60)*週間当たり点検箇所数)/5</f>
        <v>0.16666666666666666</v>
      </c>
      <c r="S15" s="2" t="str">
        <f t="shared" ref="S15:S28" si="5">IF(R15&lt;&gt;"","[時間/日]","")</f>
        <v>[時間/日]</v>
      </c>
      <c r="T15" s="10"/>
    </row>
    <row r="16" spans="2:20">
      <c r="B16" s="9"/>
      <c r="C16" s="87" t="str">
        <f>IF(D16&lt;&gt;"","x3：","")</f>
        <v>x3：</v>
      </c>
      <c r="D16" t="s">
        <v>244</v>
      </c>
      <c r="E16" s="2"/>
      <c r="F16" s="162"/>
      <c r="G16" s="2"/>
      <c r="I16" s="162">
        <v>5</v>
      </c>
      <c r="J16" s="2" t="str">
        <f t="shared" si="0"/>
        <v>[分/回]</v>
      </c>
      <c r="K16" s="2" t="str">
        <f t="shared" si="1"/>
        <v>×</v>
      </c>
      <c r="L16" s="162">
        <f>週間当たり点検箇所数/5</f>
        <v>2</v>
      </c>
      <c r="M16" s="2" t="s">
        <v>253</v>
      </c>
      <c r="N16" s="2" t="str">
        <f t="shared" si="2"/>
        <v>÷</v>
      </c>
      <c r="O16" s="162">
        <v>60</v>
      </c>
      <c r="P16" s="2" t="str">
        <f t="shared" si="3"/>
        <v>[分/時間]</v>
      </c>
      <c r="Q16" s="2" t="str">
        <f t="shared" si="4"/>
        <v>=</v>
      </c>
      <c r="R16" s="165">
        <f>((5/60)*週間当たり点検箇所数)/5</f>
        <v>0.16666666666666666</v>
      </c>
      <c r="S16" s="2" t="str">
        <f t="shared" si="5"/>
        <v>[時間/日]</v>
      </c>
      <c r="T16" s="10"/>
    </row>
    <row r="17" spans="2:20">
      <c r="B17" s="9"/>
      <c r="C17" s="87" t="str">
        <f>IF(D17&lt;&gt;"","x4：","")</f>
        <v>x4：</v>
      </c>
      <c r="D17" t="s">
        <v>240</v>
      </c>
      <c r="E17" s="2"/>
      <c r="F17" s="162"/>
      <c r="G17" s="2"/>
      <c r="I17" s="162">
        <v>5</v>
      </c>
      <c r="J17" s="2" t="str">
        <f t="shared" si="0"/>
        <v>[分/回]</v>
      </c>
      <c r="K17" s="2" t="str">
        <f t="shared" si="1"/>
        <v>×</v>
      </c>
      <c r="L17" s="162">
        <f>週間当たり点検箇所数/5</f>
        <v>2</v>
      </c>
      <c r="M17" s="2" t="s">
        <v>253</v>
      </c>
      <c r="N17" s="2" t="str">
        <f t="shared" si="2"/>
        <v>÷</v>
      </c>
      <c r="O17" s="162">
        <v>60</v>
      </c>
      <c r="P17" s="2" t="str">
        <f t="shared" si="3"/>
        <v>[分/時間]</v>
      </c>
      <c r="Q17" s="2" t="str">
        <f t="shared" si="4"/>
        <v>=</v>
      </c>
      <c r="R17" s="165">
        <f>((5/60)*週間当たり点検箇所数)/5</f>
        <v>0.16666666666666666</v>
      </c>
      <c r="S17" s="2" t="str">
        <f t="shared" si="5"/>
        <v>[時間/日]</v>
      </c>
      <c r="T17" s="10"/>
    </row>
    <row r="18" spans="2:20">
      <c r="B18" s="9"/>
      <c r="C18" s="87" t="str">
        <f>IF(D18&lt;&gt;"","x5：","")</f>
        <v>x5：</v>
      </c>
      <c r="D18" t="s">
        <v>245</v>
      </c>
      <c r="E18" s="2"/>
      <c r="F18" s="162"/>
      <c r="G18" s="2"/>
      <c r="I18" s="162">
        <v>5</v>
      </c>
      <c r="J18" s="2" t="str">
        <f t="shared" si="0"/>
        <v>[分/回]</v>
      </c>
      <c r="K18" s="2" t="str">
        <f t="shared" si="1"/>
        <v>×</v>
      </c>
      <c r="L18" s="162">
        <f>週間当たり点検箇所数/5</f>
        <v>2</v>
      </c>
      <c r="M18" s="2" t="s">
        <v>253</v>
      </c>
      <c r="N18" s="2" t="str">
        <f t="shared" si="2"/>
        <v>÷</v>
      </c>
      <c r="O18" s="162">
        <v>60</v>
      </c>
      <c r="P18" s="2" t="str">
        <f t="shared" si="3"/>
        <v>[分/時間]</v>
      </c>
      <c r="Q18" s="2" t="str">
        <f t="shared" si="4"/>
        <v>=</v>
      </c>
      <c r="R18" s="165">
        <f>((5/60)*週間当たり点検箇所数)/5</f>
        <v>0.16666666666666666</v>
      </c>
      <c r="S18" s="2" t="str">
        <f t="shared" si="5"/>
        <v>[時間/日]</v>
      </c>
      <c r="T18" s="10"/>
    </row>
    <row r="19" spans="2:20">
      <c r="B19" s="9"/>
      <c r="C19" s="87" t="str">
        <f>IF(D19&lt;&gt;"","x6：","")</f>
        <v>x6：</v>
      </c>
      <c r="D19" t="s">
        <v>241</v>
      </c>
      <c r="E19" s="2"/>
      <c r="F19" s="162"/>
      <c r="G19" s="2"/>
      <c r="I19" s="162">
        <v>10</v>
      </c>
      <c r="J19" s="2" t="str">
        <f t="shared" si="0"/>
        <v>[分/回]</v>
      </c>
      <c r="K19" s="2" t="str">
        <f t="shared" si="1"/>
        <v>×</v>
      </c>
      <c r="L19" s="162">
        <f>週間当たり点検箇所数/5</f>
        <v>2</v>
      </c>
      <c r="M19" s="2" t="s">
        <v>253</v>
      </c>
      <c r="N19" s="2" t="str">
        <f t="shared" si="2"/>
        <v>÷</v>
      </c>
      <c r="O19" s="162">
        <v>60</v>
      </c>
      <c r="P19" s="2" t="str">
        <f t="shared" si="3"/>
        <v>[分/時間]</v>
      </c>
      <c r="Q19" s="2" t="str">
        <f t="shared" si="4"/>
        <v>=</v>
      </c>
      <c r="R19" s="165">
        <f>((10/60)*週間当たり点検箇所数)/5</f>
        <v>0.33333333333333331</v>
      </c>
      <c r="S19" s="2" t="str">
        <f t="shared" si="5"/>
        <v>[時間/日]</v>
      </c>
      <c r="T19" s="10"/>
    </row>
    <row r="20" spans="2:20">
      <c r="B20" s="9"/>
      <c r="C20" s="87" t="str">
        <f>IF(D20&lt;&gt;"","x7：","")</f>
        <v>x7：</v>
      </c>
      <c r="D20" t="s">
        <v>246</v>
      </c>
      <c r="E20" s="2"/>
      <c r="F20" s="162"/>
      <c r="G20" s="2"/>
      <c r="I20" s="162">
        <v>30</v>
      </c>
      <c r="J20" s="2" t="str">
        <f t="shared" si="0"/>
        <v>[分/回]</v>
      </c>
      <c r="K20" s="2" t="s">
        <v>251</v>
      </c>
      <c r="L20" s="162">
        <v>5</v>
      </c>
      <c r="M20" s="2" t="s">
        <v>252</v>
      </c>
      <c r="N20" s="2" t="str">
        <f t="shared" si="2"/>
        <v>÷</v>
      </c>
      <c r="O20" s="162">
        <v>60</v>
      </c>
      <c r="P20" s="2" t="str">
        <f t="shared" si="3"/>
        <v>[分/時間]</v>
      </c>
      <c r="Q20" s="2" t="str">
        <f t="shared" si="4"/>
        <v>=</v>
      </c>
      <c r="R20" s="165">
        <f>(30/60)/5</f>
        <v>0.1</v>
      </c>
      <c r="S20" s="2" t="str">
        <f t="shared" si="5"/>
        <v>[時間/日]</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1.1333333333333333</v>
      </c>
      <c r="S29" s="13" t="s">
        <v>194</v>
      </c>
      <c r="T29" s="10"/>
    </row>
    <row r="30" spans="2:20">
      <c r="B30" s="9"/>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247</v>
      </c>
      <c r="F32" s="162"/>
      <c r="G32" s="2"/>
      <c r="I32" s="162">
        <v>5</v>
      </c>
      <c r="J32" s="2" t="str">
        <f>IF(O32=60,"[分/回]",IF(O32=3600,"[秒/回]",""))</f>
        <v>[分/回]</v>
      </c>
      <c r="K32" s="2" t="s">
        <v>251</v>
      </c>
      <c r="L32" s="162">
        <v>5</v>
      </c>
      <c r="M32" s="2" t="s">
        <v>252</v>
      </c>
      <c r="N32" s="2" t="str">
        <f t="shared" ref="N32:N46" si="6">IF(L32&lt;&gt;"","÷","")</f>
        <v>÷</v>
      </c>
      <c r="O32" s="162">
        <v>60</v>
      </c>
      <c r="P32" s="2" t="str">
        <f>IF(O32=60,"[分/時間]",IF(O32=3600,"[秒/時間]",""))</f>
        <v>[分/時間]</v>
      </c>
      <c r="Q32" s="2" t="str">
        <f t="shared" ref="Q32:Q46" si="7">IF(O32&lt;&gt;"","=","")</f>
        <v>=</v>
      </c>
      <c r="R32" s="165">
        <f>(5/60)/5</f>
        <v>1.6666666666666666E-2</v>
      </c>
      <c r="S32" s="2" t="str">
        <f t="shared" ref="S32:S46" si="8">IF(R32&lt;&gt;"","[時間/日]","")</f>
        <v>[時間/日]</v>
      </c>
      <c r="T32" s="10"/>
    </row>
    <row r="33" spans="2:20" hidden="1">
      <c r="B33" s="9"/>
      <c r="C33" s="87" t="str">
        <f>IF(D33&lt;&gt;"","y2：","")</f>
        <v/>
      </c>
      <c r="F33" s="162"/>
      <c r="G33" s="2"/>
      <c r="I33" s="165"/>
      <c r="J33" s="2" t="str">
        <f t="shared" ref="J33:J46" si="9">IF(O33=60,"[分/回]",IF(O33=3600,"[秒/回]",""))</f>
        <v/>
      </c>
      <c r="K33" s="2" t="str">
        <f t="shared" ref="K33:K46" si="10">IF(I33&lt;&gt;"","×","")</f>
        <v/>
      </c>
      <c r="L33" s="165"/>
      <c r="M33" s="2" t="s">
        <v>210</v>
      </c>
      <c r="N33" s="2" t="str">
        <f t="shared" si="6"/>
        <v/>
      </c>
      <c r="O33" s="162"/>
      <c r="P33" s="2" t="str">
        <f t="shared" ref="P33:P46" si="11">IF(O33=60,"[分/時間]",IF(O33=3600,"[秒/時間]",""))</f>
        <v/>
      </c>
      <c r="Q33" s="2" t="str">
        <f t="shared" si="7"/>
        <v/>
      </c>
      <c r="R33" s="165"/>
      <c r="S33" s="2" t="str">
        <f t="shared" si="8"/>
        <v/>
      </c>
      <c r="T33" s="10"/>
    </row>
    <row r="34" spans="2:20" hidden="1">
      <c r="B34" s="9"/>
      <c r="C34" s="87" t="str">
        <f>IF(D34&lt;&gt;"","y3：","")</f>
        <v/>
      </c>
      <c r="F34" s="162"/>
      <c r="G34" s="2"/>
      <c r="I34" s="165"/>
      <c r="J34" s="2" t="str">
        <f t="shared" si="9"/>
        <v/>
      </c>
      <c r="K34" s="2" t="str">
        <f t="shared" si="10"/>
        <v/>
      </c>
      <c r="L34" s="165"/>
      <c r="M34" s="2" t="s">
        <v>210</v>
      </c>
      <c r="N34" s="2" t="str">
        <f t="shared" si="6"/>
        <v/>
      </c>
      <c r="O34" s="162"/>
      <c r="P34" s="2" t="str">
        <f t="shared" si="11"/>
        <v/>
      </c>
      <c r="Q34" s="2" t="str">
        <f t="shared" si="7"/>
        <v/>
      </c>
      <c r="R34" s="165"/>
      <c r="S34" s="2" t="str">
        <f t="shared" si="8"/>
        <v/>
      </c>
      <c r="T34" s="10"/>
    </row>
    <row r="35" spans="2:20" hidden="1">
      <c r="B35" s="9"/>
      <c r="C35" s="87" t="str">
        <f>IF(D35&lt;&gt;"","y4：","")</f>
        <v/>
      </c>
      <c r="F35" s="162"/>
      <c r="G35" s="2"/>
      <c r="I35" s="165"/>
      <c r="J35" s="2" t="str">
        <f t="shared" si="9"/>
        <v/>
      </c>
      <c r="K35" s="2" t="str">
        <f t="shared" si="10"/>
        <v/>
      </c>
      <c r="L35" s="165"/>
      <c r="M35" s="2" t="s">
        <v>210</v>
      </c>
      <c r="N35" s="2" t="str">
        <f t="shared" si="6"/>
        <v/>
      </c>
      <c r="O35" s="162"/>
      <c r="P35" s="2" t="str">
        <f t="shared" si="11"/>
        <v/>
      </c>
      <c r="Q35" s="2" t="str">
        <f t="shared" si="7"/>
        <v/>
      </c>
      <c r="R35" s="165"/>
      <c r="S35" s="2" t="str">
        <f t="shared" si="8"/>
        <v/>
      </c>
      <c r="T35" s="10"/>
    </row>
    <row r="36" spans="2:20" hidden="1">
      <c r="B36" s="9"/>
      <c r="C36" s="87" t="str">
        <f>IF(D36&lt;&gt;"","y5：","")</f>
        <v/>
      </c>
      <c r="F36" s="162"/>
      <c r="G36" s="2"/>
      <c r="I36" s="165"/>
      <c r="J36" s="2" t="str">
        <f t="shared" si="9"/>
        <v/>
      </c>
      <c r="K36" s="2" t="str">
        <f t="shared" si="10"/>
        <v/>
      </c>
      <c r="L36" s="165"/>
      <c r="M36" s="2" t="s">
        <v>210</v>
      </c>
      <c r="N36" s="2" t="str">
        <f t="shared" si="6"/>
        <v/>
      </c>
      <c r="O36" s="162"/>
      <c r="P36" s="2" t="str">
        <f t="shared" si="11"/>
        <v/>
      </c>
      <c r="Q36" s="2" t="str">
        <f t="shared" si="7"/>
        <v/>
      </c>
      <c r="R36" s="165"/>
      <c r="S36" s="2" t="str">
        <f t="shared" si="8"/>
        <v/>
      </c>
      <c r="T36" s="10"/>
    </row>
    <row r="37" spans="2:20" hidden="1">
      <c r="B37" s="9"/>
      <c r="C37" s="87" t="str">
        <f>IF(D37&lt;&gt;"","y6：","")</f>
        <v/>
      </c>
      <c r="F37" s="162"/>
      <c r="G37" s="2"/>
      <c r="I37" s="165"/>
      <c r="J37" s="2" t="str">
        <f t="shared" si="9"/>
        <v/>
      </c>
      <c r="K37" s="2" t="str">
        <f t="shared" si="10"/>
        <v/>
      </c>
      <c r="L37" s="165"/>
      <c r="M37" s="2" t="s">
        <v>210</v>
      </c>
      <c r="N37" s="2" t="str">
        <f t="shared" si="6"/>
        <v/>
      </c>
      <c r="O37" s="162"/>
      <c r="P37" s="2" t="str">
        <f t="shared" si="11"/>
        <v/>
      </c>
      <c r="Q37" s="2" t="str">
        <f t="shared" si="7"/>
        <v/>
      </c>
      <c r="R37" s="165"/>
      <c r="S37" s="2" t="str">
        <f t="shared" si="8"/>
        <v/>
      </c>
      <c r="T37" s="10"/>
    </row>
    <row r="38" spans="2:20" hidden="1">
      <c r="B38" s="9"/>
      <c r="C38" s="87" t="str">
        <f>IF(D38&lt;&gt;"","y7：","")</f>
        <v/>
      </c>
      <c r="F38" s="162"/>
      <c r="G38" s="2"/>
      <c r="I38" s="165"/>
      <c r="J38" s="2" t="str">
        <f t="shared" si="9"/>
        <v/>
      </c>
      <c r="K38" s="2" t="str">
        <f t="shared" si="10"/>
        <v/>
      </c>
      <c r="L38" s="165"/>
      <c r="M38" s="2" t="s">
        <v>210</v>
      </c>
      <c r="N38" s="2" t="str">
        <f t="shared" si="6"/>
        <v/>
      </c>
      <c r="O38" s="162"/>
      <c r="P38" s="2" t="str">
        <f t="shared" si="11"/>
        <v/>
      </c>
      <c r="Q38" s="2" t="str">
        <f t="shared" si="7"/>
        <v/>
      </c>
      <c r="R38" s="165"/>
      <c r="S38" s="2" t="str">
        <f t="shared" si="8"/>
        <v/>
      </c>
      <c r="T38" s="10"/>
    </row>
    <row r="39" spans="2:20" hidden="1">
      <c r="B39" s="9"/>
      <c r="C39" s="87" t="str">
        <f>IF(D39&lt;&gt;"","y8：","")</f>
        <v/>
      </c>
      <c r="F39" s="162"/>
      <c r="G39" s="2"/>
      <c r="I39" s="165"/>
      <c r="J39" s="2" t="str">
        <f t="shared" si="9"/>
        <v/>
      </c>
      <c r="K39" s="2" t="str">
        <f t="shared" si="10"/>
        <v/>
      </c>
      <c r="L39" s="165"/>
      <c r="M39" s="2" t="s">
        <v>210</v>
      </c>
      <c r="N39" s="2" t="str">
        <f t="shared" si="6"/>
        <v/>
      </c>
      <c r="O39" s="162"/>
      <c r="P39" s="2" t="str">
        <f t="shared" si="11"/>
        <v/>
      </c>
      <c r="Q39" s="2" t="str">
        <f t="shared" si="7"/>
        <v/>
      </c>
      <c r="R39" s="165"/>
      <c r="S39" s="2" t="str">
        <f t="shared" si="8"/>
        <v/>
      </c>
      <c r="T39" s="10"/>
    </row>
    <row r="40" spans="2:20" hidden="1">
      <c r="B40" s="9"/>
      <c r="C40" s="87" t="str">
        <f>IF(D40&lt;&gt;"","y9：","")</f>
        <v/>
      </c>
      <c r="F40" s="162"/>
      <c r="G40" s="2"/>
      <c r="I40" s="165"/>
      <c r="J40" s="2" t="str">
        <f t="shared" si="9"/>
        <v/>
      </c>
      <c r="K40" s="2" t="str">
        <f t="shared" si="10"/>
        <v/>
      </c>
      <c r="L40" s="165"/>
      <c r="M40" s="2" t="s">
        <v>210</v>
      </c>
      <c r="N40" s="2" t="str">
        <f t="shared" si="6"/>
        <v/>
      </c>
      <c r="O40" s="162"/>
      <c r="P40" s="2" t="str">
        <f t="shared" si="11"/>
        <v/>
      </c>
      <c r="Q40" s="2" t="str">
        <f t="shared" si="7"/>
        <v/>
      </c>
      <c r="R40" s="165"/>
      <c r="S40" s="2" t="str">
        <f t="shared" si="8"/>
        <v/>
      </c>
      <c r="T40" s="10"/>
    </row>
    <row r="41" spans="2:20" hidden="1">
      <c r="B41" s="9"/>
      <c r="C41" s="87" t="str">
        <f>IF(D41&lt;&gt;"","y10：","")</f>
        <v/>
      </c>
      <c r="F41" s="162"/>
      <c r="G41" s="2"/>
      <c r="I41" s="165"/>
      <c r="J41" s="2" t="str">
        <f t="shared" si="9"/>
        <v/>
      </c>
      <c r="K41" s="2" t="str">
        <f t="shared" si="10"/>
        <v/>
      </c>
      <c r="L41" s="165"/>
      <c r="M41" s="2" t="s">
        <v>210</v>
      </c>
      <c r="N41" s="2" t="str">
        <f t="shared" si="6"/>
        <v/>
      </c>
      <c r="O41" s="162"/>
      <c r="P41" s="2" t="str">
        <f t="shared" si="11"/>
        <v/>
      </c>
      <c r="Q41" s="2" t="str">
        <f t="shared" si="7"/>
        <v/>
      </c>
      <c r="R41" s="165"/>
      <c r="S41" s="2" t="str">
        <f t="shared" si="8"/>
        <v/>
      </c>
      <c r="T41" s="10"/>
    </row>
    <row r="42" spans="2:20" hidden="1">
      <c r="B42" s="9"/>
      <c r="C42" s="87" t="str">
        <f>IF(D42&lt;&gt;"","y11：","")</f>
        <v/>
      </c>
      <c r="F42" s="162"/>
      <c r="G42" s="2"/>
      <c r="I42" s="165"/>
      <c r="J42" s="2" t="str">
        <f t="shared" si="9"/>
        <v/>
      </c>
      <c r="K42" s="2" t="str">
        <f t="shared" si="10"/>
        <v/>
      </c>
      <c r="L42" s="165"/>
      <c r="M42" s="2" t="s">
        <v>210</v>
      </c>
      <c r="N42" s="2" t="str">
        <f t="shared" si="6"/>
        <v/>
      </c>
      <c r="O42" s="162"/>
      <c r="P42" s="2" t="str">
        <f t="shared" si="11"/>
        <v/>
      </c>
      <c r="Q42" s="2" t="str">
        <f t="shared" si="7"/>
        <v/>
      </c>
      <c r="R42" s="165"/>
      <c r="S42" s="2" t="str">
        <f t="shared" si="8"/>
        <v/>
      </c>
      <c r="T42" s="10"/>
    </row>
    <row r="43" spans="2:20" hidden="1">
      <c r="B43" s="9"/>
      <c r="C43" s="87" t="str">
        <f>IF(D43&lt;&gt;"","y12：","")</f>
        <v/>
      </c>
      <c r="F43" s="162"/>
      <c r="G43" s="2"/>
      <c r="I43" s="165"/>
      <c r="J43" s="2" t="str">
        <f t="shared" si="9"/>
        <v/>
      </c>
      <c r="K43" s="2" t="str">
        <f t="shared" si="10"/>
        <v/>
      </c>
      <c r="L43" s="165"/>
      <c r="M43" s="2" t="s">
        <v>210</v>
      </c>
      <c r="N43" s="2" t="str">
        <f t="shared" si="6"/>
        <v/>
      </c>
      <c r="O43" s="162"/>
      <c r="P43" s="2" t="str">
        <f t="shared" si="11"/>
        <v/>
      </c>
      <c r="Q43" s="2" t="str">
        <f t="shared" si="7"/>
        <v/>
      </c>
      <c r="R43" s="165"/>
      <c r="S43" s="2" t="str">
        <f t="shared" si="8"/>
        <v/>
      </c>
      <c r="T43" s="10"/>
    </row>
    <row r="44" spans="2:20" hidden="1">
      <c r="B44" s="9"/>
      <c r="C44" s="87" t="str">
        <f>IF(D44&lt;&gt;"","y13：","")</f>
        <v/>
      </c>
      <c r="F44" s="162"/>
      <c r="G44" s="2"/>
      <c r="I44" s="165"/>
      <c r="J44" s="2" t="str">
        <f t="shared" si="9"/>
        <v/>
      </c>
      <c r="K44" s="2" t="str">
        <f t="shared" si="10"/>
        <v/>
      </c>
      <c r="L44" s="165"/>
      <c r="M44" s="2" t="s">
        <v>210</v>
      </c>
      <c r="N44" s="2" t="str">
        <f t="shared" si="6"/>
        <v/>
      </c>
      <c r="O44" s="162"/>
      <c r="P44" s="2" t="str">
        <f t="shared" si="11"/>
        <v/>
      </c>
      <c r="Q44" s="2" t="str">
        <f t="shared" si="7"/>
        <v/>
      </c>
      <c r="R44" s="165"/>
      <c r="S44" s="2" t="str">
        <f t="shared" si="8"/>
        <v/>
      </c>
      <c r="T44" s="10"/>
    </row>
    <row r="45" spans="2:20" hidden="1">
      <c r="B45" s="9"/>
      <c r="C45" s="87" t="str">
        <f>IF(D45&lt;&gt;"","y14：","")</f>
        <v/>
      </c>
      <c r="F45" s="162"/>
      <c r="G45" s="2"/>
      <c r="I45" s="165"/>
      <c r="J45" s="2" t="str">
        <f t="shared" si="9"/>
        <v/>
      </c>
      <c r="K45" s="2" t="str">
        <f t="shared" si="10"/>
        <v/>
      </c>
      <c r="L45" s="165"/>
      <c r="M45" s="2" t="s">
        <v>210</v>
      </c>
      <c r="N45" s="2" t="str">
        <f t="shared" si="6"/>
        <v/>
      </c>
      <c r="O45" s="162"/>
      <c r="P45" s="2" t="str">
        <f t="shared" si="11"/>
        <v/>
      </c>
      <c r="Q45" s="2" t="str">
        <f t="shared" si="7"/>
        <v/>
      </c>
      <c r="R45" s="165"/>
      <c r="S45" s="2" t="str">
        <f t="shared" si="8"/>
        <v/>
      </c>
      <c r="T45" s="10"/>
    </row>
    <row r="46" spans="2:20" hidden="1">
      <c r="B46" s="9"/>
      <c r="C46" s="87" t="str">
        <f>IF(D46&lt;&gt;"","y15：","")</f>
        <v/>
      </c>
      <c r="F46" s="162"/>
      <c r="G46" s="2"/>
      <c r="I46" s="165"/>
      <c r="J46" s="2" t="str">
        <f t="shared" si="9"/>
        <v/>
      </c>
      <c r="K46" s="2" t="str">
        <f t="shared" si="10"/>
        <v/>
      </c>
      <c r="L46" s="165"/>
      <c r="M46" s="2" t="s">
        <v>210</v>
      </c>
      <c r="N46" s="2" t="str">
        <f t="shared" si="6"/>
        <v/>
      </c>
      <c r="O46" s="162"/>
      <c r="P46" s="2" t="str">
        <f t="shared" si="11"/>
        <v/>
      </c>
      <c r="Q46" s="2" t="str">
        <f t="shared" si="7"/>
        <v/>
      </c>
      <c r="R46" s="165"/>
      <c r="S46" s="2" t="str">
        <f t="shared" si="8"/>
        <v/>
      </c>
      <c r="T46" s="10"/>
    </row>
    <row r="47" spans="2:20">
      <c r="B47" s="9"/>
      <c r="C47" s="7" t="s">
        <v>226</v>
      </c>
      <c r="D47" s="7"/>
      <c r="E47" s="7"/>
      <c r="F47" s="13"/>
      <c r="G47" s="13"/>
      <c r="H47" s="13"/>
      <c r="I47" s="13"/>
      <c r="J47" s="13"/>
      <c r="K47" s="13"/>
      <c r="L47" s="13"/>
      <c r="M47" s="13"/>
      <c r="N47" s="13"/>
      <c r="O47" s="13"/>
      <c r="P47" s="13"/>
      <c r="Q47" s="13"/>
      <c r="R47" s="168">
        <f>SUM(R32:R46)</f>
        <v>1.6666666666666666E-2</v>
      </c>
      <c r="S47" s="13" t="s">
        <v>194</v>
      </c>
      <c r="T47" s="10"/>
    </row>
    <row r="48" spans="2:20">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1.1333333333333333</v>
      </c>
      <c r="J50" s="2" t="s">
        <v>194</v>
      </c>
      <c r="K50" s="2" t="s">
        <v>34</v>
      </c>
      <c r="L50" s="165">
        <f>R47</f>
        <v>1.6666666666666666E-2</v>
      </c>
      <c r="M50" s="5" t="s">
        <v>201</v>
      </c>
      <c r="N50" s="2" t="s">
        <v>196</v>
      </c>
      <c r="O50" s="158">
        <f>R29</f>
        <v>1.1333333333333333</v>
      </c>
      <c r="P50" s="2" t="s">
        <v>194</v>
      </c>
      <c r="Q50" s="2" t="s">
        <v>193</v>
      </c>
      <c r="R50" s="169">
        <f>ROUND((I50-L50)/O50,2)</f>
        <v>0.99</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wYUkjRL3vMTcXuQgLxobq3uapZJWlwkZ8+M+Asjaz6p7VqfpGoKvWA5JLDjeYYJCYPJzWdKWkXokiiGXRwgtag==" saltValue="Iw2B/W9NgfoC/bPglL06KQ=="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F436C-EE73-4D93-A0A5-29CE3BD3EDD0}"/>
</file>

<file path=customXml/itemProps2.xml><?xml version="1.0" encoding="utf-8"?>
<ds:datastoreItem xmlns:ds="http://schemas.openxmlformats.org/officeDocument/2006/customXml" ds:itemID="{D46BDFBE-7DCB-4587-B1BE-093F2072EF1E}">
  <ds:schemaRefs>
    <ds:schemaRef ds:uri="5096ed87-1394-41ba-9857-c6b625d49cbd"/>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terms/"/>
    <ds:schemaRef ds:uri="http://schemas.microsoft.com/office/2006/documentManagement/types"/>
    <ds:schemaRef ds:uri="307f33d5-412e-42f7-880e-964369499a37"/>
    <ds:schemaRef ds:uri="http://www.w3.org/XML/1998/namespace"/>
    <ds:schemaRef ds:uri="http://purl.org/dc/elements/1.1/"/>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週間当たり点検箇所数</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2026-03-15T18:50:56Z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