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DF7D5E41-2A35-4633-B2B7-E7A2E00D64CA}" xr6:coauthVersionLast="47" xr6:coauthVersionMax="47" xr10:uidLastSave="{00000000-0000-0000-0000-000000000000}"/>
  <workbookProtection workbookAlgorithmName="SHA-512" workbookHashValue="T9JnOkQ5UXMiuS9xdHfug0K2azXLYiXuN/E6UAUKmz78Hg+A35s4cZZPWteG2oLRZc4FZoBr6eHSG12Re8FZLg==" workbookSaltValue="HCsp5mqpqyt3DvZwVnFVNA==" workbookSpinCount="100000" lockStructure="1"/>
  <bookViews>
    <workbookView xWindow="6570" yWindow="7635" windowWidth="29130" windowHeight="21000" tabRatio="986" xr2:uid="{00000000-000D-0000-FFFF-FFFF00000000}"/>
  </bookViews>
  <sheets>
    <sheet name="①製品審査申請書（工業会用）" sheetId="1" r:id="rId1"/>
    <sheet name="②製品審査申請書（事務局用）" sheetId="42" r:id="rId2"/>
    <sheet name="③納品実績報告書" sheetId="51"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建設業ー小規模）" sheetId="43" r:id="rId9"/>
    <sheet name="審査結果（建設業ー中規模）" sheetId="44" r:id="rId10"/>
    <sheet name="審査結果（建設業ー大規模）" sheetId="45" r:id="rId11"/>
    <sheet name="利用が想定される中小企業(建設業)" sheetId="46" r:id="rId12"/>
    <sheet name="審査結果（専門・技術サービス業ー小規模）" sheetId="47" r:id="rId13"/>
    <sheet name="審査結果（専門・技術サービス業ー中規模）" sheetId="48" r:id="rId14"/>
    <sheet name="審査結果（専門・技術サービス業ー大規模）" sheetId="49" r:id="rId15"/>
    <sheet name="利用が想定される中小企業(専門・技術サービス業)" sheetId="50" r:id="rId16"/>
  </sheets>
  <definedNames>
    <definedName name="_xlnm.Print_Area" localSheetId="0">'①製品審査申請書（工業会用）'!$A$1:$K$65</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8">'審査結果（建設業ー小規模）'!$A$1:$R$55</definedName>
    <definedName name="_xlnm.Print_Area" localSheetId="10">'審査結果（建設業ー大規模）'!$A$1:$R$55</definedName>
    <definedName name="_xlnm.Print_Area" localSheetId="9">'審査結果（建設業ー中規模）'!$A$1:$R$55</definedName>
    <definedName name="_xlnm.Print_Area" localSheetId="12">'審査結果（専門・技術サービス業ー小規模）'!$A$1:$R$55</definedName>
    <definedName name="_xlnm.Print_Area" localSheetId="14">'審査結果（専門・技術サービス業ー大規模）'!$A$1:$R$55</definedName>
    <definedName name="_xlnm.Print_Area" localSheetId="13">'審査結果（専門・技術サービス業ー中規模）'!$A$1:$R$55</definedName>
    <definedName name="PTS構築宣言_chk">④省力化製品製造事業者登録申請書!$AU$29</definedName>
    <definedName name="PTS構築宣言URL">④省力化製品製造事業者登録申請書!$J$24</definedName>
    <definedName name="機器費用">'①製品審査申請書（工業会用）'!$E$43</definedName>
    <definedName name="機能・性能名1">'①製品審査申請書（工業会用）'!$L$29</definedName>
    <definedName name="機能・性能名1有無">'①製品審査申請書（工業会用）'!$M$29</definedName>
    <definedName name="機能・性能名2">'①製品審査申請書（工業会用）'!$L$30</definedName>
    <definedName name="機能・性能名2有無">'①製品審査申請書（工業会用）'!$M$30</definedName>
    <definedName name="機能・性能名3">'①製品審査申請書（工業会用）'!$L$31</definedName>
    <definedName name="機能・性能名3有無">'①製品審査申請書（工業会用）'!$M$31</definedName>
    <definedName name="業種">'①製品審査申請書（工業会用）'!$L$14</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自動追尾機能">'①製品審査申請書（工業会用）'!$E$37</definedName>
    <definedName name="所在地">④省力化製品製造事業者登録申請書!$J$10</definedName>
    <definedName name="省指_建設小">'審査結果（建設業ー小規模）'!$O$30</definedName>
    <definedName name="省指_建設大">'審査結果（建設業ー大規模）'!$O$30</definedName>
    <definedName name="省指_建設中">'審査結果（建設業ー中規模）'!$O$30</definedName>
    <definedName name="省指_専技小">'審査結果（専門・技術サービス業ー小規模）'!$O$30</definedName>
    <definedName name="省指_専技大">'審査結果（専門・技術サービス業ー大規模）'!$O$30</definedName>
    <definedName name="省指_専技中">'審査結果（専門・技術サービス業ー中規模）'!$O$30</definedName>
    <definedName name="省力化機能パラメータ">'①製品審査申請書（工業会用）'!$L$36</definedName>
    <definedName name="審1_建設小">'審査結果（建設業ー小規模）'!$O$33</definedName>
    <definedName name="審1_建設大">'審査結果（建設業ー大規模）'!$O$33</definedName>
    <definedName name="審1_建設中">'審査結果（建設業ー中規模）'!$O$33</definedName>
    <definedName name="審1_専技小">'審査結果（専門・技術サービス業ー小規模）'!$O$33</definedName>
    <definedName name="審1_専技大">'審査結果（専門・技術サービス業ー大規模）'!$O$33</definedName>
    <definedName name="審1_専技中">'審査結果（専門・技術サービス業ー中規模）'!$O$33</definedName>
    <definedName name="審2_建設小">'審査結果（建設業ー小規模）'!$O$49</definedName>
    <definedName name="審2_建設大">'審査結果（建設業ー大規模）'!$O$49</definedName>
    <definedName name="審2_建設中">'審査結果（建設業ー中規模）'!$O$49</definedName>
    <definedName name="審2_専技小">'審査結果（専門・技術サービス業ー小規模）'!$O$49</definedName>
    <definedName name="審2_専技大">'審査結果（専門・技術サービス業ー大規模）'!$O$49</definedName>
    <definedName name="審2_専技中">'審査結果（専門・技術サービス業ー中規模）'!$O$49</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'①製品審査申請書（工業会用）'!$E$44</definedName>
    <definedName name="総合判定_建設小">'審査結果（建設業ー小規模）'!$O$53</definedName>
    <definedName name="総合判定_建設大">'審査結果（建設業ー大規模）'!$O$53</definedName>
    <definedName name="総合判定_建設中">'審査結果（建設業ー中規模）'!$O$53</definedName>
    <definedName name="総合判定_専技小">'審査結果（専門・技術サービス業ー小規模）'!$O$53</definedName>
    <definedName name="総合判定_専技大">'審査結果（専門・技術サービス業ー大規模）'!$O$53</definedName>
    <definedName name="総合判定_専技中">'審査結果（専門・技術サービス業ー中規模）'!$O$53</definedName>
    <definedName name="投資_建設小">'審査結果（建設業ー小規模）'!$O$46</definedName>
    <definedName name="投資_建設大">'審査結果（建設業ー大規模）'!$O$46</definedName>
    <definedName name="投資_建設中">'審査結果（建設業ー中規模）'!$O$46</definedName>
    <definedName name="投資_専技小">'審査結果（専門・技術サービス業ー小規模）'!$O$46</definedName>
    <definedName name="投資_専技大">'審査結果（専門・技術サービス業ー大規模）'!$O$46</definedName>
    <definedName name="投資_専技中">'審査結果（専門・技術サービス業ー中規模）'!$O$46</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 l="1"/>
  <c r="L31" i="1"/>
  <c r="M30" i="1"/>
  <c r="L30" i="1"/>
  <c r="M29" i="1"/>
  <c r="L29" i="1"/>
  <c r="F34" i="51"/>
  <c r="F33" i="51"/>
  <c r="F32" i="51"/>
  <c r="F31" i="51"/>
  <c r="F30" i="51"/>
  <c r="F29" i="51"/>
  <c r="F28" i="51"/>
  <c r="F27" i="51"/>
  <c r="F26" i="51"/>
  <c r="F25" i="51"/>
  <c r="F24" i="51"/>
  <c r="F23" i="51"/>
  <c r="F22" i="51"/>
  <c r="F21" i="51"/>
  <c r="F20" i="51"/>
  <c r="F19" i="51"/>
  <c r="AU3" i="42"/>
  <c r="U493" i="51"/>
  <c r="U492" i="51"/>
  <c r="U491" i="51"/>
  <c r="U490" i="51"/>
  <c r="U489" i="51"/>
  <c r="U488" i="51"/>
  <c r="U487" i="51"/>
  <c r="U486" i="51"/>
  <c r="U485" i="51"/>
  <c r="U484" i="51"/>
  <c r="U483" i="51"/>
  <c r="S483" i="51"/>
  <c r="U482" i="51"/>
  <c r="U481" i="51"/>
  <c r="U480" i="51"/>
  <c r="U479" i="51"/>
  <c r="U478" i="51"/>
  <c r="U477" i="51"/>
  <c r="U476" i="51"/>
  <c r="U475" i="51"/>
  <c r="U474" i="51"/>
  <c r="U473" i="51"/>
  <c r="U472" i="51"/>
  <c r="U471" i="51"/>
  <c r="U470" i="51"/>
  <c r="U469" i="51"/>
  <c r="U468" i="51"/>
  <c r="U467" i="51"/>
  <c r="S467" i="51"/>
  <c r="S481" i="51" s="1"/>
  <c r="U466" i="51"/>
  <c r="U465" i="51"/>
  <c r="U464" i="51"/>
  <c r="U463" i="51"/>
  <c r="U462" i="51"/>
  <c r="S462" i="51"/>
  <c r="U461" i="51"/>
  <c r="U460" i="51"/>
  <c r="U459" i="51"/>
  <c r="U458" i="51"/>
  <c r="U457" i="51"/>
  <c r="U456" i="51"/>
  <c r="U455" i="51"/>
  <c r="U454" i="51"/>
  <c r="U453" i="51"/>
  <c r="U452" i="51"/>
  <c r="U451" i="51"/>
  <c r="S451" i="51"/>
  <c r="S465" i="51" s="1"/>
  <c r="U450" i="51"/>
  <c r="U449" i="51"/>
  <c r="U448" i="51"/>
  <c r="U447" i="51"/>
  <c r="U446" i="51"/>
  <c r="U445" i="51"/>
  <c r="U444" i="51"/>
  <c r="U443" i="51"/>
  <c r="U442" i="51"/>
  <c r="U441" i="51"/>
  <c r="U440" i="51"/>
  <c r="U439" i="51"/>
  <c r="U438" i="51"/>
  <c r="U437" i="51"/>
  <c r="U436" i="51"/>
  <c r="U435" i="51"/>
  <c r="S435" i="51"/>
  <c r="S449" i="51" s="1"/>
  <c r="U434" i="51"/>
  <c r="U433" i="51"/>
  <c r="U432" i="51"/>
  <c r="U431" i="51"/>
  <c r="U430" i="51"/>
  <c r="U429" i="51"/>
  <c r="U428" i="51"/>
  <c r="U427" i="51"/>
  <c r="U426" i="51"/>
  <c r="U425" i="51"/>
  <c r="U424" i="51"/>
  <c r="U423" i="51"/>
  <c r="U422" i="51"/>
  <c r="U421" i="51"/>
  <c r="U420" i="51"/>
  <c r="U419" i="51"/>
  <c r="S419" i="51"/>
  <c r="S433" i="51" s="1"/>
  <c r="U418" i="51"/>
  <c r="U417" i="51"/>
  <c r="U416" i="51"/>
  <c r="U415" i="51"/>
  <c r="U414" i="51"/>
  <c r="U413" i="51"/>
  <c r="U412" i="51"/>
  <c r="U411" i="51"/>
  <c r="U410" i="51"/>
  <c r="U409" i="51"/>
  <c r="U408" i="51"/>
  <c r="U407" i="51"/>
  <c r="U406" i="51"/>
  <c r="U405" i="51"/>
  <c r="U404" i="51"/>
  <c r="U403" i="51"/>
  <c r="S403" i="51"/>
  <c r="S417" i="51" s="1"/>
  <c r="U402" i="51"/>
  <c r="U401" i="51"/>
  <c r="U400" i="51"/>
  <c r="U399" i="51"/>
  <c r="U398" i="51"/>
  <c r="U397" i="51"/>
  <c r="U396" i="51"/>
  <c r="U395" i="51"/>
  <c r="U394" i="51"/>
  <c r="U393" i="51"/>
  <c r="U392" i="51"/>
  <c r="U391" i="51"/>
  <c r="U390" i="51"/>
  <c r="U389" i="51"/>
  <c r="U388" i="51"/>
  <c r="U387" i="51"/>
  <c r="S387" i="51"/>
  <c r="S401" i="51" s="1"/>
  <c r="U386" i="51"/>
  <c r="U385" i="51"/>
  <c r="U384" i="51"/>
  <c r="U383" i="51"/>
  <c r="U382" i="51"/>
  <c r="U381" i="51"/>
  <c r="U380" i="51"/>
  <c r="U379" i="51"/>
  <c r="U378" i="51"/>
  <c r="U377" i="51"/>
  <c r="U376" i="51"/>
  <c r="U375" i="51"/>
  <c r="U374" i="51"/>
  <c r="U373" i="51"/>
  <c r="U372" i="51"/>
  <c r="U371" i="51"/>
  <c r="S371" i="51"/>
  <c r="S385" i="51" s="1"/>
  <c r="U370" i="51"/>
  <c r="U369" i="51"/>
  <c r="U368" i="51"/>
  <c r="U367" i="51"/>
  <c r="U366" i="51"/>
  <c r="U365" i="51"/>
  <c r="U364" i="51"/>
  <c r="U363" i="51"/>
  <c r="U362" i="51"/>
  <c r="U361" i="51"/>
  <c r="U360" i="51"/>
  <c r="U359" i="51"/>
  <c r="U358" i="51"/>
  <c r="U357" i="51"/>
  <c r="U356" i="51"/>
  <c r="U355" i="51"/>
  <c r="S355" i="51"/>
  <c r="S369" i="51" s="1"/>
  <c r="U354" i="51"/>
  <c r="U353" i="51"/>
  <c r="U352" i="51"/>
  <c r="U351" i="51"/>
  <c r="U350" i="51"/>
  <c r="U349" i="51"/>
  <c r="U348" i="51"/>
  <c r="U347" i="51"/>
  <c r="U346" i="51"/>
  <c r="U345" i="51"/>
  <c r="U344" i="51"/>
  <c r="U343" i="51"/>
  <c r="U342" i="51"/>
  <c r="U341" i="51"/>
  <c r="U340" i="51"/>
  <c r="U339" i="51"/>
  <c r="S339" i="51"/>
  <c r="S353" i="51" s="1"/>
  <c r="U338" i="51"/>
  <c r="U337" i="51"/>
  <c r="U336" i="51"/>
  <c r="U335" i="51"/>
  <c r="U334" i="51"/>
  <c r="U333" i="51"/>
  <c r="U332" i="51"/>
  <c r="U331" i="51"/>
  <c r="U330" i="51"/>
  <c r="U329" i="51"/>
  <c r="U328" i="51"/>
  <c r="U327" i="51"/>
  <c r="U326" i="51"/>
  <c r="U325" i="51"/>
  <c r="U324" i="51"/>
  <c r="U323" i="51"/>
  <c r="S323" i="51"/>
  <c r="S337" i="51" s="1"/>
  <c r="U322" i="51"/>
  <c r="U321" i="51"/>
  <c r="U320" i="51"/>
  <c r="U319" i="51"/>
  <c r="U318" i="51"/>
  <c r="U317" i="51"/>
  <c r="U316" i="51"/>
  <c r="U315" i="51"/>
  <c r="U314" i="51"/>
  <c r="U313" i="51"/>
  <c r="U312" i="51"/>
  <c r="U311" i="51"/>
  <c r="U310" i="51"/>
  <c r="U309" i="51"/>
  <c r="U308" i="51"/>
  <c r="U307" i="51"/>
  <c r="S307" i="51"/>
  <c r="S321" i="51" s="1"/>
  <c r="U306" i="51"/>
  <c r="U305" i="51"/>
  <c r="U304" i="51"/>
  <c r="U303" i="51"/>
  <c r="U302" i="51"/>
  <c r="U301" i="51"/>
  <c r="U300" i="51"/>
  <c r="U299" i="51"/>
  <c r="U298" i="51"/>
  <c r="U297" i="51"/>
  <c r="U296" i="51"/>
  <c r="U295" i="51"/>
  <c r="S295" i="51"/>
  <c r="U294" i="51"/>
  <c r="U293" i="51"/>
  <c r="U292" i="51"/>
  <c r="U291" i="51"/>
  <c r="S291" i="51"/>
  <c r="S293" i="51" s="1"/>
  <c r="U290" i="51"/>
  <c r="U289" i="51"/>
  <c r="U288" i="51"/>
  <c r="U287" i="51"/>
  <c r="U286" i="51"/>
  <c r="U285" i="51"/>
  <c r="U284" i="51"/>
  <c r="U283" i="51"/>
  <c r="U282" i="51"/>
  <c r="U281" i="51"/>
  <c r="U280" i="51"/>
  <c r="U279" i="51"/>
  <c r="U278" i="51"/>
  <c r="U277" i="51"/>
  <c r="U276" i="51"/>
  <c r="U275" i="51"/>
  <c r="S275" i="51"/>
  <c r="S277" i="51" s="1"/>
  <c r="U274" i="51"/>
  <c r="U273" i="51"/>
  <c r="U272" i="51"/>
  <c r="U271" i="51"/>
  <c r="U270" i="51"/>
  <c r="U269" i="51"/>
  <c r="U268" i="51"/>
  <c r="U267" i="51"/>
  <c r="U266" i="51"/>
  <c r="U265" i="51"/>
  <c r="U264" i="51"/>
  <c r="U263" i="51"/>
  <c r="U262" i="51"/>
  <c r="U261" i="51"/>
  <c r="U260" i="51"/>
  <c r="U259" i="51"/>
  <c r="S259" i="51"/>
  <c r="U258" i="51"/>
  <c r="U257" i="51"/>
  <c r="U256" i="51"/>
  <c r="U255" i="51"/>
  <c r="U254" i="51"/>
  <c r="U253" i="51"/>
  <c r="U252" i="51"/>
  <c r="U251" i="51"/>
  <c r="S251" i="51"/>
  <c r="U250" i="51"/>
  <c r="U249" i="51"/>
  <c r="S249" i="51"/>
  <c r="U248" i="51"/>
  <c r="U247" i="51"/>
  <c r="U246" i="51"/>
  <c r="U245" i="51"/>
  <c r="U244" i="51"/>
  <c r="U243" i="51"/>
  <c r="S243" i="51"/>
  <c r="S245" i="51" s="1"/>
  <c r="U242" i="51"/>
  <c r="U241" i="51"/>
  <c r="U240" i="51"/>
  <c r="U239" i="51"/>
  <c r="U238" i="51"/>
  <c r="U237" i="51"/>
  <c r="U236" i="51"/>
  <c r="U235" i="51"/>
  <c r="U234" i="51"/>
  <c r="U233" i="51"/>
  <c r="U232" i="51"/>
  <c r="U231" i="51"/>
  <c r="U230" i="51"/>
  <c r="U229" i="51"/>
  <c r="U228" i="51"/>
  <c r="U227" i="51"/>
  <c r="S227" i="51"/>
  <c r="S229" i="51" s="1"/>
  <c r="U226" i="51"/>
  <c r="U225" i="51"/>
  <c r="U224" i="51"/>
  <c r="U223" i="51"/>
  <c r="U222" i="51"/>
  <c r="U221" i="51"/>
  <c r="U220" i="51"/>
  <c r="U219" i="51"/>
  <c r="U218" i="51"/>
  <c r="U217" i="51"/>
  <c r="S217" i="51"/>
  <c r="U216" i="51"/>
  <c r="U215" i="51"/>
  <c r="U214" i="51"/>
  <c r="U213" i="51"/>
  <c r="U212" i="51"/>
  <c r="U211" i="51"/>
  <c r="S211" i="51"/>
  <c r="S215" i="51" s="1"/>
  <c r="U210" i="51"/>
  <c r="U209" i="51"/>
  <c r="U208" i="51"/>
  <c r="U207" i="51"/>
  <c r="U206" i="51"/>
  <c r="U205" i="51"/>
  <c r="U204" i="51"/>
  <c r="U203" i="51"/>
  <c r="U202" i="51"/>
  <c r="U201" i="51"/>
  <c r="U200" i="51"/>
  <c r="U199" i="51"/>
  <c r="U198" i="51"/>
  <c r="U197" i="51"/>
  <c r="U196" i="51"/>
  <c r="U195" i="51"/>
  <c r="S195" i="51"/>
  <c r="U194" i="51"/>
  <c r="U193" i="51"/>
  <c r="U192" i="51"/>
  <c r="U191" i="51"/>
  <c r="U190" i="51"/>
  <c r="U189" i="51"/>
  <c r="U188" i="51"/>
  <c r="U187" i="51"/>
  <c r="U186" i="51"/>
  <c r="U185" i="51"/>
  <c r="U184" i="51"/>
  <c r="U183" i="51"/>
  <c r="U182" i="51"/>
  <c r="U181" i="51"/>
  <c r="U180" i="51"/>
  <c r="U179" i="51"/>
  <c r="S179" i="51"/>
  <c r="S183" i="51" s="1"/>
  <c r="U178" i="51"/>
  <c r="U177" i="51"/>
  <c r="U176" i="51"/>
  <c r="U175" i="51"/>
  <c r="U174" i="51"/>
  <c r="U173" i="51"/>
  <c r="U172" i="51"/>
  <c r="U171" i="51"/>
  <c r="U170" i="51"/>
  <c r="U169" i="51"/>
  <c r="U168" i="51"/>
  <c r="U167" i="51"/>
  <c r="U166" i="51"/>
  <c r="U165" i="51"/>
  <c r="U164" i="51"/>
  <c r="U163" i="51"/>
  <c r="S163" i="51"/>
  <c r="S167" i="51" s="1"/>
  <c r="U162" i="51"/>
  <c r="U161" i="51"/>
  <c r="U160" i="51"/>
  <c r="U159" i="51"/>
  <c r="U158" i="51"/>
  <c r="U157" i="51"/>
  <c r="U156" i="51"/>
  <c r="U155" i="51"/>
  <c r="U154" i="51"/>
  <c r="U153" i="51"/>
  <c r="U152" i="51"/>
  <c r="U151" i="51"/>
  <c r="U150" i="51"/>
  <c r="U149" i="51"/>
  <c r="U148" i="51"/>
  <c r="U147" i="51"/>
  <c r="S147" i="51"/>
  <c r="S151" i="51" s="1"/>
  <c r="U146" i="51"/>
  <c r="U145" i="51"/>
  <c r="U144" i="51"/>
  <c r="U143" i="51"/>
  <c r="U142" i="51"/>
  <c r="U141" i="51"/>
  <c r="U140" i="51"/>
  <c r="U139" i="51"/>
  <c r="U138" i="51"/>
  <c r="U137" i="51"/>
  <c r="U136" i="51"/>
  <c r="U135" i="51"/>
  <c r="U134" i="51"/>
  <c r="U133" i="51"/>
  <c r="U132" i="51"/>
  <c r="U131" i="51"/>
  <c r="S131" i="51"/>
  <c r="S135" i="51" s="1"/>
  <c r="U130" i="51"/>
  <c r="U129" i="51"/>
  <c r="U128" i="51"/>
  <c r="U127" i="51"/>
  <c r="U126" i="51"/>
  <c r="U125" i="51"/>
  <c r="U124" i="51"/>
  <c r="U123" i="51"/>
  <c r="U122" i="51"/>
  <c r="U121" i="51"/>
  <c r="U120" i="51"/>
  <c r="U119" i="51"/>
  <c r="U118" i="51"/>
  <c r="U117" i="51"/>
  <c r="U116" i="51"/>
  <c r="U115" i="51"/>
  <c r="S115" i="51"/>
  <c r="S118" i="51" s="1"/>
  <c r="U114" i="51"/>
  <c r="S114" i="51"/>
  <c r="U113" i="51"/>
  <c r="U112" i="51"/>
  <c r="S112" i="51"/>
  <c r="U111" i="51"/>
  <c r="U110" i="51"/>
  <c r="U109" i="51"/>
  <c r="U108" i="51"/>
  <c r="U107" i="51"/>
  <c r="U106" i="51"/>
  <c r="U105" i="51"/>
  <c r="U104" i="51"/>
  <c r="U103" i="51"/>
  <c r="U102" i="51"/>
  <c r="U101" i="51"/>
  <c r="U100" i="51"/>
  <c r="U99" i="51"/>
  <c r="S99" i="51"/>
  <c r="S113" i="51" s="1"/>
  <c r="U98" i="51"/>
  <c r="U97" i="51"/>
  <c r="U96" i="51"/>
  <c r="U95" i="51"/>
  <c r="U94" i="51"/>
  <c r="U93" i="51"/>
  <c r="U92" i="51"/>
  <c r="U91" i="51"/>
  <c r="U90" i="51"/>
  <c r="U89" i="51"/>
  <c r="U88" i="51"/>
  <c r="U87" i="51"/>
  <c r="U86" i="51"/>
  <c r="U85" i="51"/>
  <c r="U84" i="51"/>
  <c r="U83" i="51"/>
  <c r="S83" i="51"/>
  <c r="S97" i="51" s="1"/>
  <c r="U82" i="51"/>
  <c r="U81" i="51"/>
  <c r="U80" i="51"/>
  <c r="U79" i="51"/>
  <c r="U78" i="51"/>
  <c r="U77" i="51"/>
  <c r="U76" i="51"/>
  <c r="U75" i="51"/>
  <c r="U74" i="51"/>
  <c r="U73" i="51"/>
  <c r="U72" i="51"/>
  <c r="U71" i="51"/>
  <c r="U70" i="51"/>
  <c r="U69" i="51"/>
  <c r="U68" i="51"/>
  <c r="U67" i="51"/>
  <c r="S67" i="51"/>
  <c r="S81" i="51" s="1"/>
  <c r="U66" i="51"/>
  <c r="U65" i="51"/>
  <c r="U64" i="51"/>
  <c r="U63" i="51"/>
  <c r="U62" i="51"/>
  <c r="U61" i="51"/>
  <c r="U60" i="51"/>
  <c r="U59" i="51"/>
  <c r="U58" i="51"/>
  <c r="U57" i="51"/>
  <c r="U56" i="51"/>
  <c r="U55" i="51"/>
  <c r="U54" i="51"/>
  <c r="U53" i="51"/>
  <c r="U52" i="51"/>
  <c r="U51" i="51"/>
  <c r="S51" i="51"/>
  <c r="S65" i="51" s="1"/>
  <c r="U50" i="51"/>
  <c r="U49" i="51"/>
  <c r="U48" i="51"/>
  <c r="U47" i="51"/>
  <c r="U46" i="51"/>
  <c r="U45" i="51"/>
  <c r="U44" i="51"/>
  <c r="U43" i="51"/>
  <c r="U42" i="51"/>
  <c r="U41" i="51"/>
  <c r="U40" i="51"/>
  <c r="U39" i="51"/>
  <c r="U38" i="51"/>
  <c r="U37" i="51"/>
  <c r="U36" i="51"/>
  <c r="U35" i="51"/>
  <c r="S35" i="51"/>
  <c r="S49" i="51" s="1"/>
  <c r="U34" i="51"/>
  <c r="U33" i="51"/>
  <c r="U32" i="51"/>
  <c r="U31" i="51"/>
  <c r="U30" i="51"/>
  <c r="U29" i="51"/>
  <c r="U28" i="51"/>
  <c r="U27" i="51"/>
  <c r="U26" i="51"/>
  <c r="U25" i="51"/>
  <c r="U24" i="51"/>
  <c r="U23" i="51"/>
  <c r="U22" i="51"/>
  <c r="U21" i="51"/>
  <c r="U20" i="51"/>
  <c r="U19" i="51"/>
  <c r="S19" i="51"/>
  <c r="S33" i="51" s="1"/>
  <c r="J17" i="51"/>
  <c r="F26" i="49"/>
  <c r="F26" i="48"/>
  <c r="F26" i="47"/>
  <c r="F26" i="45"/>
  <c r="F26" i="44"/>
  <c r="F26" i="43"/>
  <c r="I26" i="49"/>
  <c r="I26" i="48"/>
  <c r="I26" i="47"/>
  <c r="I26" i="44"/>
  <c r="I26" i="45"/>
  <c r="Q29" i="1" l="1"/>
  <c r="Q31" i="1"/>
  <c r="Q30" i="1"/>
  <c r="S474" i="51"/>
  <c r="S137" i="51"/>
  <c r="S297" i="51"/>
  <c r="S96" i="51"/>
  <c r="S116" i="51"/>
  <c r="S106" i="51"/>
  <c r="S169" i="51"/>
  <c r="S78" i="51"/>
  <c r="S94" i="51"/>
  <c r="S458" i="51"/>
  <c r="S478" i="51"/>
  <c r="S88" i="51"/>
  <c r="S76" i="51"/>
  <c r="S493" i="51"/>
  <c r="S484" i="51"/>
  <c r="S486" i="51"/>
  <c r="S488" i="51"/>
  <c r="S490" i="51"/>
  <c r="S74" i="51"/>
  <c r="S92" i="51"/>
  <c r="S110" i="51"/>
  <c r="S72" i="51"/>
  <c r="S90" i="51"/>
  <c r="S108" i="51"/>
  <c r="S126" i="51"/>
  <c r="S133" i="51"/>
  <c r="S155" i="51"/>
  <c r="S165" i="51"/>
  <c r="S187" i="51"/>
  <c r="S263" i="51"/>
  <c r="S265" i="51"/>
  <c r="S267" i="51"/>
  <c r="S261" i="51"/>
  <c r="S70" i="51"/>
  <c r="S124" i="51"/>
  <c r="S153" i="51"/>
  <c r="S185" i="51"/>
  <c r="S199" i="51"/>
  <c r="S197" i="51"/>
  <c r="S201" i="51"/>
  <c r="S203" i="51"/>
  <c r="S492" i="51"/>
  <c r="S68" i="51"/>
  <c r="S86" i="51"/>
  <c r="S104" i="51"/>
  <c r="S122" i="51"/>
  <c r="S129" i="51"/>
  <c r="S82" i="51"/>
  <c r="S84" i="51"/>
  <c r="S102" i="51"/>
  <c r="S120" i="51"/>
  <c r="S80" i="51"/>
  <c r="S98" i="51"/>
  <c r="S100" i="51"/>
  <c r="S139" i="51"/>
  <c r="S149" i="51"/>
  <c r="S171" i="51"/>
  <c r="S181" i="51"/>
  <c r="S460" i="51"/>
  <c r="S476" i="51"/>
  <c r="S213" i="51"/>
  <c r="S247" i="51"/>
  <c r="S283" i="51"/>
  <c r="S456" i="51"/>
  <c r="S472" i="51"/>
  <c r="S235" i="51"/>
  <c r="S281" i="51"/>
  <c r="S454" i="51"/>
  <c r="S470" i="51"/>
  <c r="S233" i="51"/>
  <c r="S279" i="51"/>
  <c r="S452" i="51"/>
  <c r="S468" i="51"/>
  <c r="S231" i="51"/>
  <c r="S482" i="51"/>
  <c r="S219" i="51"/>
  <c r="S464" i="51"/>
  <c r="S480" i="51"/>
  <c r="S20" i="51"/>
  <c r="S22" i="51"/>
  <c r="S24" i="51"/>
  <c r="S26" i="51"/>
  <c r="S28" i="51"/>
  <c r="S30" i="51"/>
  <c r="S32" i="51"/>
  <c r="S34" i="51"/>
  <c r="S36" i="51"/>
  <c r="S38" i="51"/>
  <c r="S40" i="51"/>
  <c r="S42" i="51"/>
  <c r="S44" i="51"/>
  <c r="S46" i="51"/>
  <c r="S48" i="51"/>
  <c r="S50" i="51"/>
  <c r="S52" i="51"/>
  <c r="S54" i="51"/>
  <c r="S56" i="51"/>
  <c r="S58" i="51"/>
  <c r="S60" i="51"/>
  <c r="S62" i="51"/>
  <c r="S64" i="51"/>
  <c r="S66" i="51"/>
  <c r="S146" i="51"/>
  <c r="S144" i="51"/>
  <c r="S142" i="51"/>
  <c r="S140" i="51"/>
  <c r="S138" i="51"/>
  <c r="S136" i="51"/>
  <c r="S134" i="51"/>
  <c r="S132" i="51"/>
  <c r="S162" i="51"/>
  <c r="S160" i="51"/>
  <c r="S158" i="51"/>
  <c r="S156" i="51"/>
  <c r="S154" i="51"/>
  <c r="S152" i="51"/>
  <c r="S150" i="51"/>
  <c r="S148" i="51"/>
  <c r="S178" i="51"/>
  <c r="S176" i="51"/>
  <c r="S174" i="51"/>
  <c r="S172" i="51"/>
  <c r="S170" i="51"/>
  <c r="S168" i="51"/>
  <c r="S166" i="51"/>
  <c r="S164" i="51"/>
  <c r="S194" i="51"/>
  <c r="S192" i="51"/>
  <c r="S190" i="51"/>
  <c r="S188" i="51"/>
  <c r="S186" i="51"/>
  <c r="S184" i="51"/>
  <c r="S182" i="51"/>
  <c r="S180" i="51"/>
  <c r="S210" i="51"/>
  <c r="S208" i="51"/>
  <c r="S206" i="51"/>
  <c r="S204" i="51"/>
  <c r="S202" i="51"/>
  <c r="S200" i="51"/>
  <c r="S198" i="51"/>
  <c r="S196" i="51"/>
  <c r="S226" i="51"/>
  <c r="S224" i="51"/>
  <c r="S222" i="51"/>
  <c r="S220" i="51"/>
  <c r="S218" i="51"/>
  <c r="S216" i="51"/>
  <c r="S214" i="51"/>
  <c r="S212" i="51"/>
  <c r="S242" i="51"/>
  <c r="S240" i="51"/>
  <c r="S238" i="51"/>
  <c r="S236" i="51"/>
  <c r="S234" i="51"/>
  <c r="S232" i="51"/>
  <c r="S230" i="51"/>
  <c r="S228" i="51"/>
  <c r="S258" i="51"/>
  <c r="S256" i="51"/>
  <c r="S254" i="51"/>
  <c r="S252" i="51"/>
  <c r="S250" i="51"/>
  <c r="S248" i="51"/>
  <c r="S246" i="51"/>
  <c r="S244" i="51"/>
  <c r="S274" i="51"/>
  <c r="S272" i="51"/>
  <c r="S270" i="51"/>
  <c r="S268" i="51"/>
  <c r="S266" i="51"/>
  <c r="S264" i="51"/>
  <c r="S262" i="51"/>
  <c r="S260" i="51"/>
  <c r="S290" i="51"/>
  <c r="S288" i="51"/>
  <c r="S286" i="51"/>
  <c r="S284" i="51"/>
  <c r="S282" i="51"/>
  <c r="S280" i="51"/>
  <c r="S278" i="51"/>
  <c r="S276" i="51"/>
  <c r="S305" i="51"/>
  <c r="S303" i="51"/>
  <c r="S301" i="51"/>
  <c r="S306" i="51"/>
  <c r="S304" i="51"/>
  <c r="S302" i="51"/>
  <c r="S300" i="51"/>
  <c r="S298" i="51"/>
  <c r="S299" i="51"/>
  <c r="S296" i="51"/>
  <c r="S294" i="51"/>
  <c r="S292" i="51"/>
  <c r="S145" i="51"/>
  <c r="S161" i="51"/>
  <c r="S177" i="51"/>
  <c r="S193" i="51"/>
  <c r="S209" i="51"/>
  <c r="S225" i="51"/>
  <c r="S241" i="51"/>
  <c r="S257" i="51"/>
  <c r="S273" i="51"/>
  <c r="S289" i="51"/>
  <c r="S21" i="51"/>
  <c r="S23" i="51"/>
  <c r="S25" i="51"/>
  <c r="S27" i="51"/>
  <c r="S29" i="51"/>
  <c r="S31" i="51"/>
  <c r="S37" i="51"/>
  <c r="S39" i="51"/>
  <c r="S41" i="51"/>
  <c r="S43" i="51"/>
  <c r="S45" i="51"/>
  <c r="S47" i="51"/>
  <c r="S53" i="51"/>
  <c r="S55" i="51"/>
  <c r="S57" i="51"/>
  <c r="S59" i="51"/>
  <c r="S61" i="51"/>
  <c r="S63" i="51"/>
  <c r="S69" i="51"/>
  <c r="S71" i="51"/>
  <c r="S73" i="51"/>
  <c r="S75" i="51"/>
  <c r="S77" i="51"/>
  <c r="S79" i="51"/>
  <c r="S85" i="51"/>
  <c r="S87" i="51"/>
  <c r="S89" i="51"/>
  <c r="S91" i="51"/>
  <c r="S93" i="51"/>
  <c r="S95" i="51"/>
  <c r="S101" i="51"/>
  <c r="S103" i="51"/>
  <c r="S105" i="51"/>
  <c r="S107" i="51"/>
  <c r="S109" i="51"/>
  <c r="S111" i="51"/>
  <c r="S130" i="51"/>
  <c r="S128" i="51"/>
  <c r="S117" i="51"/>
  <c r="S119" i="51"/>
  <c r="S121" i="51"/>
  <c r="S123" i="51"/>
  <c r="S125" i="51"/>
  <c r="S127" i="51"/>
  <c r="S143" i="51"/>
  <c r="S159" i="51"/>
  <c r="S175" i="51"/>
  <c r="S191" i="51"/>
  <c r="S207" i="51"/>
  <c r="S223" i="51"/>
  <c r="S239" i="51"/>
  <c r="S255" i="51"/>
  <c r="S271" i="51"/>
  <c r="S287" i="51"/>
  <c r="S141" i="51"/>
  <c r="S157" i="51"/>
  <c r="S173" i="51"/>
  <c r="S189" i="51"/>
  <c r="S205" i="51"/>
  <c r="S221" i="51"/>
  <c r="S237" i="51"/>
  <c r="S253" i="51"/>
  <c r="S269" i="51"/>
  <c r="S285" i="51"/>
  <c r="S308" i="51"/>
  <c r="S310" i="51"/>
  <c r="S312" i="51"/>
  <c r="S314" i="51"/>
  <c r="S316" i="51"/>
  <c r="S318" i="51"/>
  <c r="S320" i="51"/>
  <c r="S322" i="51"/>
  <c r="S324" i="51"/>
  <c r="S326" i="51"/>
  <c r="S328" i="51"/>
  <c r="S330" i="51"/>
  <c r="S332" i="51"/>
  <c r="S334" i="51"/>
  <c r="S336" i="51"/>
  <c r="S338" i="51"/>
  <c r="S340" i="51"/>
  <c r="S342" i="51"/>
  <c r="S344" i="51"/>
  <c r="S346" i="51"/>
  <c r="S348" i="51"/>
  <c r="S350" i="51"/>
  <c r="S352" i="51"/>
  <c r="S354" i="51"/>
  <c r="S356" i="51"/>
  <c r="S358" i="51"/>
  <c r="S360" i="51"/>
  <c r="S362" i="51"/>
  <c r="S364" i="51"/>
  <c r="S366" i="51"/>
  <c r="S368" i="51"/>
  <c r="S370" i="51"/>
  <c r="S372" i="51"/>
  <c r="S374" i="51"/>
  <c r="S376" i="51"/>
  <c r="S378" i="51"/>
  <c r="S380" i="51"/>
  <c r="S382" i="51"/>
  <c r="S384" i="51"/>
  <c r="S386" i="51"/>
  <c r="S388" i="51"/>
  <c r="S390" i="51"/>
  <c r="S392" i="51"/>
  <c r="S394" i="51"/>
  <c r="S396" i="51"/>
  <c r="S398" i="51"/>
  <c r="S400" i="51"/>
  <c r="S402" i="51"/>
  <c r="S404" i="51"/>
  <c r="S406" i="51"/>
  <c r="S408" i="51"/>
  <c r="S410" i="51"/>
  <c r="S412" i="51"/>
  <c r="S414" i="51"/>
  <c r="S416" i="51"/>
  <c r="S418" i="51"/>
  <c r="S420" i="51"/>
  <c r="S422" i="51"/>
  <c r="S424" i="51"/>
  <c r="S426" i="51"/>
  <c r="S428" i="51"/>
  <c r="S430" i="51"/>
  <c r="S432" i="51"/>
  <c r="S434" i="51"/>
  <c r="S436" i="51"/>
  <c r="S438" i="51"/>
  <c r="S440" i="51"/>
  <c r="S442" i="51"/>
  <c r="S444" i="51"/>
  <c r="S446" i="51"/>
  <c r="S448" i="51"/>
  <c r="S450" i="51"/>
  <c r="S466" i="51"/>
  <c r="S309" i="51"/>
  <c r="S311" i="51"/>
  <c r="S313" i="51"/>
  <c r="S315" i="51"/>
  <c r="S317" i="51"/>
  <c r="S319" i="51"/>
  <c r="S325" i="51"/>
  <c r="S327" i="51"/>
  <c r="S329" i="51"/>
  <c r="S331" i="51"/>
  <c r="S333" i="51"/>
  <c r="S335" i="51"/>
  <c r="S341" i="51"/>
  <c r="S343" i="51"/>
  <c r="S345" i="51"/>
  <c r="S347" i="51"/>
  <c r="S349" i="51"/>
  <c r="S351" i="51"/>
  <c r="S357" i="51"/>
  <c r="S359" i="51"/>
  <c r="S361" i="51"/>
  <c r="S363" i="51"/>
  <c r="S365" i="51"/>
  <c r="S367" i="51"/>
  <c r="S373" i="51"/>
  <c r="S375" i="51"/>
  <c r="S377" i="51"/>
  <c r="S379" i="51"/>
  <c r="S381" i="51"/>
  <c r="S383" i="51"/>
  <c r="S389" i="51"/>
  <c r="S391" i="51"/>
  <c r="S393" i="51"/>
  <c r="S395" i="51"/>
  <c r="S397" i="51"/>
  <c r="S399" i="51"/>
  <c r="S405" i="51"/>
  <c r="S407" i="51"/>
  <c r="S409" i="51"/>
  <c r="S411" i="51"/>
  <c r="S413" i="51"/>
  <c r="S415" i="51"/>
  <c r="S421" i="51"/>
  <c r="S423" i="51"/>
  <c r="S425" i="51"/>
  <c r="S427" i="51"/>
  <c r="S429" i="51"/>
  <c r="S431" i="51"/>
  <c r="S437" i="51"/>
  <c r="S439" i="51"/>
  <c r="S441" i="51"/>
  <c r="S443" i="51"/>
  <c r="S445" i="51"/>
  <c r="S447" i="51"/>
  <c r="S453" i="51"/>
  <c r="S455" i="51"/>
  <c r="S457" i="51"/>
  <c r="S459" i="51"/>
  <c r="S461" i="51"/>
  <c r="S463" i="51"/>
  <c r="S469" i="51"/>
  <c r="S471" i="51"/>
  <c r="S473" i="51"/>
  <c r="S475" i="51"/>
  <c r="S477" i="51"/>
  <c r="S479" i="51"/>
  <c r="S485" i="51"/>
  <c r="S487" i="51"/>
  <c r="S489" i="51"/>
  <c r="S491" i="51"/>
  <c r="I26" i="43"/>
  <c r="C2" i="35" l="1"/>
  <c r="G9" i="51"/>
  <c r="G8" i="51"/>
  <c r="D8" i="51"/>
  <c r="U498" i="51"/>
  <c r="P498" i="51"/>
  <c r="N498" i="51"/>
  <c r="T498" i="51" s="1"/>
  <c r="U497" i="51"/>
  <c r="P497" i="51"/>
  <c r="N497" i="51"/>
  <c r="U496" i="51"/>
  <c r="P496" i="51"/>
  <c r="N496" i="51"/>
  <c r="U495" i="51"/>
  <c r="P495" i="51"/>
  <c r="N495" i="51"/>
  <c r="R495" i="51" s="1"/>
  <c r="S495" i="51" s="1"/>
  <c r="U494" i="51"/>
  <c r="P494" i="51"/>
  <c r="N494" i="51"/>
  <c r="T494" i="51" s="1"/>
  <c r="P493" i="51"/>
  <c r="N493" i="51"/>
  <c r="P492" i="51"/>
  <c r="N492" i="51"/>
  <c r="P491" i="51"/>
  <c r="N491" i="51"/>
  <c r="P490" i="51"/>
  <c r="N490" i="51"/>
  <c r="P489" i="51"/>
  <c r="N489" i="51"/>
  <c r="P488" i="51"/>
  <c r="N488" i="51"/>
  <c r="P487" i="51"/>
  <c r="N487" i="51"/>
  <c r="P486" i="51"/>
  <c r="N486" i="51"/>
  <c r="P485" i="51"/>
  <c r="N485" i="51"/>
  <c r="P484" i="51"/>
  <c r="N484" i="51"/>
  <c r="P483" i="51"/>
  <c r="N483" i="51"/>
  <c r="P482" i="51"/>
  <c r="N482" i="51"/>
  <c r="P481" i="51"/>
  <c r="N481" i="51"/>
  <c r="P480" i="51"/>
  <c r="N480" i="51"/>
  <c r="P479" i="51"/>
  <c r="N479" i="51"/>
  <c r="P478" i="51"/>
  <c r="N478" i="51"/>
  <c r="P477" i="51"/>
  <c r="N477" i="51"/>
  <c r="P476" i="51"/>
  <c r="N476" i="51"/>
  <c r="P475" i="51"/>
  <c r="N475" i="51"/>
  <c r="P474" i="51"/>
  <c r="N474" i="51"/>
  <c r="P473" i="51"/>
  <c r="N473" i="51"/>
  <c r="P472" i="51"/>
  <c r="N472" i="51"/>
  <c r="P471" i="51"/>
  <c r="N471" i="51"/>
  <c r="P470" i="51"/>
  <c r="N470" i="51"/>
  <c r="P469" i="51"/>
  <c r="N469" i="51"/>
  <c r="P468" i="51"/>
  <c r="N468" i="51"/>
  <c r="P467" i="51"/>
  <c r="N467" i="51"/>
  <c r="P466" i="51"/>
  <c r="N466" i="51"/>
  <c r="P465" i="51"/>
  <c r="N465" i="51"/>
  <c r="P464" i="51"/>
  <c r="N464" i="51"/>
  <c r="P463" i="51"/>
  <c r="N463" i="51"/>
  <c r="P462" i="51"/>
  <c r="N462" i="51"/>
  <c r="P461" i="51"/>
  <c r="N461" i="51"/>
  <c r="P460" i="51"/>
  <c r="N460" i="51"/>
  <c r="P459" i="51"/>
  <c r="N459" i="51"/>
  <c r="P458" i="51"/>
  <c r="N458" i="51"/>
  <c r="P457" i="51"/>
  <c r="N457" i="51"/>
  <c r="P456" i="51"/>
  <c r="N456" i="51"/>
  <c r="P455" i="51"/>
  <c r="N455" i="51"/>
  <c r="P454" i="51"/>
  <c r="N454" i="51"/>
  <c r="P453" i="51"/>
  <c r="N453" i="51"/>
  <c r="P452" i="51"/>
  <c r="N452" i="51"/>
  <c r="P451" i="51"/>
  <c r="N451" i="51"/>
  <c r="P450" i="51"/>
  <c r="N450" i="51"/>
  <c r="P449" i="51"/>
  <c r="N449" i="51"/>
  <c r="P448" i="51"/>
  <c r="N448" i="51"/>
  <c r="P447" i="51"/>
  <c r="N447" i="51"/>
  <c r="P446" i="51"/>
  <c r="N446" i="51"/>
  <c r="P445" i="51"/>
  <c r="N445" i="51"/>
  <c r="P444" i="51"/>
  <c r="N444" i="51"/>
  <c r="P443" i="51"/>
  <c r="N443" i="51"/>
  <c r="P442" i="51"/>
  <c r="N442" i="51"/>
  <c r="P441" i="51"/>
  <c r="N441" i="51"/>
  <c r="P440" i="51"/>
  <c r="N440" i="51"/>
  <c r="P439" i="51"/>
  <c r="N439" i="51"/>
  <c r="P438" i="51"/>
  <c r="N438" i="51"/>
  <c r="P437" i="51"/>
  <c r="N437" i="51"/>
  <c r="P436" i="51"/>
  <c r="N436" i="51"/>
  <c r="P435" i="51"/>
  <c r="N435" i="51"/>
  <c r="P434" i="51"/>
  <c r="N434" i="51"/>
  <c r="P433" i="51"/>
  <c r="N433" i="51"/>
  <c r="P432" i="51"/>
  <c r="N432" i="51"/>
  <c r="P431" i="51"/>
  <c r="N431" i="51"/>
  <c r="P430" i="51"/>
  <c r="N430" i="51"/>
  <c r="P429" i="51"/>
  <c r="N429" i="51"/>
  <c r="P428" i="51"/>
  <c r="N428" i="51"/>
  <c r="P427" i="51"/>
  <c r="N427" i="51"/>
  <c r="P426" i="51"/>
  <c r="N426" i="51"/>
  <c r="P425" i="51"/>
  <c r="N425" i="51"/>
  <c r="P424" i="51"/>
  <c r="N424" i="51"/>
  <c r="P423" i="51"/>
  <c r="N423" i="51"/>
  <c r="P422" i="51"/>
  <c r="N422" i="51"/>
  <c r="P421" i="51"/>
  <c r="N421" i="51"/>
  <c r="P420" i="51"/>
  <c r="N420" i="51"/>
  <c r="P419" i="51"/>
  <c r="N419" i="51"/>
  <c r="P418" i="51"/>
  <c r="N418" i="51"/>
  <c r="P417" i="51"/>
  <c r="N417" i="51"/>
  <c r="P416" i="51"/>
  <c r="N416" i="51"/>
  <c r="P415" i="51"/>
  <c r="N415" i="51"/>
  <c r="P414" i="51"/>
  <c r="N414" i="51"/>
  <c r="P413" i="51"/>
  <c r="N413" i="51"/>
  <c r="P412" i="51"/>
  <c r="N412" i="51"/>
  <c r="P411" i="51"/>
  <c r="N411" i="51"/>
  <c r="P410" i="51"/>
  <c r="N410" i="51"/>
  <c r="P409" i="51"/>
  <c r="N409" i="51"/>
  <c r="P408" i="51"/>
  <c r="N408" i="51"/>
  <c r="P407" i="51"/>
  <c r="N407" i="51"/>
  <c r="P406" i="51"/>
  <c r="N406" i="51"/>
  <c r="P405" i="51"/>
  <c r="N405" i="51"/>
  <c r="P404" i="51"/>
  <c r="N404" i="51"/>
  <c r="P403" i="51"/>
  <c r="N403" i="51"/>
  <c r="P402" i="51"/>
  <c r="N402" i="51"/>
  <c r="P401" i="51"/>
  <c r="N401" i="51"/>
  <c r="P400" i="51"/>
  <c r="N400" i="51"/>
  <c r="P399" i="51"/>
  <c r="N399" i="51"/>
  <c r="P398" i="51"/>
  <c r="N398" i="51"/>
  <c r="P397" i="51"/>
  <c r="N397" i="51"/>
  <c r="P396" i="51"/>
  <c r="N396" i="51"/>
  <c r="P395" i="51"/>
  <c r="N395" i="51"/>
  <c r="P394" i="51"/>
  <c r="N394" i="51"/>
  <c r="P393" i="51"/>
  <c r="N393" i="51"/>
  <c r="P392" i="51"/>
  <c r="N392" i="51"/>
  <c r="P391" i="51"/>
  <c r="N391" i="51"/>
  <c r="P390" i="51"/>
  <c r="N390" i="51"/>
  <c r="P389" i="51"/>
  <c r="N389" i="51"/>
  <c r="P388" i="51"/>
  <c r="N388" i="51"/>
  <c r="P387" i="51"/>
  <c r="N387" i="51"/>
  <c r="P386" i="51"/>
  <c r="N386" i="51"/>
  <c r="P385" i="51"/>
  <c r="N385" i="51"/>
  <c r="P384" i="51"/>
  <c r="N384" i="51"/>
  <c r="P383" i="51"/>
  <c r="N383" i="51"/>
  <c r="P382" i="51"/>
  <c r="N382" i="51"/>
  <c r="P381" i="51"/>
  <c r="N381" i="51"/>
  <c r="P380" i="51"/>
  <c r="N380" i="51"/>
  <c r="P379" i="51"/>
  <c r="N379" i="51"/>
  <c r="P378" i="51"/>
  <c r="N378" i="51"/>
  <c r="P377" i="51"/>
  <c r="N377" i="51"/>
  <c r="P376" i="51"/>
  <c r="N376" i="51"/>
  <c r="P375" i="51"/>
  <c r="N375" i="51"/>
  <c r="P374" i="51"/>
  <c r="N374" i="51"/>
  <c r="P373" i="51"/>
  <c r="N373" i="51"/>
  <c r="P372" i="51"/>
  <c r="N372" i="51"/>
  <c r="P371" i="51"/>
  <c r="N371" i="51"/>
  <c r="P370" i="51"/>
  <c r="N370" i="51"/>
  <c r="P369" i="51"/>
  <c r="N369" i="51"/>
  <c r="P368" i="51"/>
  <c r="N368" i="51"/>
  <c r="P367" i="51"/>
  <c r="N367" i="51"/>
  <c r="P366" i="51"/>
  <c r="N366" i="51"/>
  <c r="P365" i="51"/>
  <c r="N365" i="51"/>
  <c r="P364" i="51"/>
  <c r="N364" i="51"/>
  <c r="P363" i="51"/>
  <c r="N363" i="51"/>
  <c r="P362" i="51"/>
  <c r="N362" i="51"/>
  <c r="P361" i="51"/>
  <c r="N361" i="51"/>
  <c r="P360" i="51"/>
  <c r="N360" i="51"/>
  <c r="P359" i="51"/>
  <c r="N359" i="51"/>
  <c r="P358" i="51"/>
  <c r="N358" i="51"/>
  <c r="P357" i="51"/>
  <c r="N357" i="51"/>
  <c r="P356" i="51"/>
  <c r="N356" i="51"/>
  <c r="P355" i="51"/>
  <c r="N355" i="51"/>
  <c r="P354" i="51"/>
  <c r="N354" i="51"/>
  <c r="P353" i="51"/>
  <c r="N353" i="51"/>
  <c r="P352" i="51"/>
  <c r="N352" i="51"/>
  <c r="P351" i="51"/>
  <c r="N351" i="51"/>
  <c r="P350" i="51"/>
  <c r="N350" i="51"/>
  <c r="P349" i="51"/>
  <c r="N349" i="51"/>
  <c r="P348" i="51"/>
  <c r="N348" i="51"/>
  <c r="P347" i="51"/>
  <c r="N347" i="51"/>
  <c r="P346" i="51"/>
  <c r="N346" i="51"/>
  <c r="P345" i="51"/>
  <c r="N345" i="51"/>
  <c r="P344" i="51"/>
  <c r="N344" i="51"/>
  <c r="P343" i="51"/>
  <c r="N343" i="51"/>
  <c r="P342" i="51"/>
  <c r="N342" i="51"/>
  <c r="P341" i="51"/>
  <c r="N341" i="51"/>
  <c r="P340" i="51"/>
  <c r="N340" i="51"/>
  <c r="P339" i="51"/>
  <c r="N339" i="51"/>
  <c r="P338" i="51"/>
  <c r="N338" i="51"/>
  <c r="P337" i="51"/>
  <c r="N337" i="51"/>
  <c r="P336" i="51"/>
  <c r="N336" i="51"/>
  <c r="P335" i="51"/>
  <c r="N335" i="51"/>
  <c r="P334" i="51"/>
  <c r="N334" i="51"/>
  <c r="P333" i="51"/>
  <c r="N333" i="51"/>
  <c r="P332" i="51"/>
  <c r="N332" i="51"/>
  <c r="P331" i="51"/>
  <c r="N331" i="51"/>
  <c r="P330" i="51"/>
  <c r="N330" i="51"/>
  <c r="P329" i="51"/>
  <c r="N329" i="51"/>
  <c r="P328" i="51"/>
  <c r="N328" i="51"/>
  <c r="P327" i="51"/>
  <c r="N327" i="51"/>
  <c r="P326" i="51"/>
  <c r="N326" i="51"/>
  <c r="P325" i="51"/>
  <c r="N325" i="51"/>
  <c r="P324" i="51"/>
  <c r="N324" i="51"/>
  <c r="P323" i="51"/>
  <c r="N323" i="51"/>
  <c r="P322" i="51"/>
  <c r="N322" i="51"/>
  <c r="P321" i="51"/>
  <c r="N321" i="51"/>
  <c r="P320" i="51"/>
  <c r="N320" i="51"/>
  <c r="P319" i="51"/>
  <c r="N319" i="51"/>
  <c r="P318" i="51"/>
  <c r="N318" i="51"/>
  <c r="P317" i="51"/>
  <c r="N317" i="51"/>
  <c r="P316" i="51"/>
  <c r="N316" i="51"/>
  <c r="P315" i="51"/>
  <c r="N315" i="51"/>
  <c r="P314" i="51"/>
  <c r="N314" i="51"/>
  <c r="P313" i="51"/>
  <c r="N313" i="51"/>
  <c r="P312" i="51"/>
  <c r="N312" i="51"/>
  <c r="P311" i="51"/>
  <c r="N311" i="51"/>
  <c r="P310" i="51"/>
  <c r="N310" i="51"/>
  <c r="P309" i="51"/>
  <c r="N309" i="51"/>
  <c r="P308" i="51"/>
  <c r="N308" i="51"/>
  <c r="P307" i="51"/>
  <c r="N307" i="51"/>
  <c r="P306" i="51"/>
  <c r="N306" i="51"/>
  <c r="P305" i="51"/>
  <c r="N305" i="51"/>
  <c r="P304" i="51"/>
  <c r="N304" i="51"/>
  <c r="P303" i="51"/>
  <c r="N303" i="51"/>
  <c r="P302" i="51"/>
  <c r="N302" i="51"/>
  <c r="P301" i="51"/>
  <c r="N301" i="51"/>
  <c r="P300" i="51"/>
  <c r="N300" i="51"/>
  <c r="P299" i="51"/>
  <c r="N299" i="51"/>
  <c r="P298" i="51"/>
  <c r="N298" i="51"/>
  <c r="P297" i="51"/>
  <c r="N297" i="51"/>
  <c r="P296" i="51"/>
  <c r="N296" i="51"/>
  <c r="P295" i="51"/>
  <c r="N295" i="51"/>
  <c r="P294" i="51"/>
  <c r="N294" i="51"/>
  <c r="P293" i="51"/>
  <c r="N293" i="51"/>
  <c r="P292" i="51"/>
  <c r="N292" i="51"/>
  <c r="P291" i="51"/>
  <c r="N291" i="51"/>
  <c r="P290" i="51"/>
  <c r="N290" i="51"/>
  <c r="P289" i="51"/>
  <c r="N289" i="51"/>
  <c r="P288" i="51"/>
  <c r="N288" i="51"/>
  <c r="P287" i="51"/>
  <c r="N287" i="51"/>
  <c r="P286" i="51"/>
  <c r="N286" i="51"/>
  <c r="P285" i="51"/>
  <c r="N285" i="51"/>
  <c r="P284" i="51"/>
  <c r="N284" i="51"/>
  <c r="P283" i="51"/>
  <c r="N283" i="51"/>
  <c r="P282" i="51"/>
  <c r="N282" i="51"/>
  <c r="P281" i="51"/>
  <c r="N281" i="51"/>
  <c r="P280" i="51"/>
  <c r="N280" i="51"/>
  <c r="P279" i="51"/>
  <c r="N279" i="51"/>
  <c r="P278" i="51"/>
  <c r="N278" i="51"/>
  <c r="P277" i="51"/>
  <c r="N277" i="51"/>
  <c r="P276" i="51"/>
  <c r="N276" i="51"/>
  <c r="P275" i="51"/>
  <c r="N275" i="51"/>
  <c r="P274" i="51"/>
  <c r="N274" i="51"/>
  <c r="P273" i="51"/>
  <c r="N273" i="51"/>
  <c r="P272" i="51"/>
  <c r="N272" i="51"/>
  <c r="P271" i="51"/>
  <c r="N271" i="51"/>
  <c r="P270" i="51"/>
  <c r="N270" i="51"/>
  <c r="P269" i="51"/>
  <c r="N269" i="51"/>
  <c r="P268" i="51"/>
  <c r="N268" i="51"/>
  <c r="P267" i="51"/>
  <c r="N267" i="51"/>
  <c r="P266" i="51"/>
  <c r="N266" i="51"/>
  <c r="P265" i="51"/>
  <c r="N265" i="51"/>
  <c r="P264" i="51"/>
  <c r="N264" i="51"/>
  <c r="P263" i="51"/>
  <c r="N263" i="51"/>
  <c r="P262" i="51"/>
  <c r="N262" i="51"/>
  <c r="P261" i="51"/>
  <c r="N261" i="51"/>
  <c r="P260" i="51"/>
  <c r="N260" i="51"/>
  <c r="P259" i="51"/>
  <c r="N259" i="51"/>
  <c r="P258" i="51"/>
  <c r="N258" i="51"/>
  <c r="P257" i="51"/>
  <c r="N257" i="51"/>
  <c r="P256" i="51"/>
  <c r="N256" i="51"/>
  <c r="P255" i="51"/>
  <c r="N255" i="51"/>
  <c r="P254" i="51"/>
  <c r="N254" i="51"/>
  <c r="P253" i="51"/>
  <c r="N253" i="51"/>
  <c r="P252" i="51"/>
  <c r="N252" i="51"/>
  <c r="P251" i="51"/>
  <c r="N251" i="51"/>
  <c r="P250" i="51"/>
  <c r="N250" i="51"/>
  <c r="P249" i="51"/>
  <c r="N249" i="51"/>
  <c r="P248" i="51"/>
  <c r="N248" i="51"/>
  <c r="P247" i="51"/>
  <c r="N247" i="51"/>
  <c r="P246" i="51"/>
  <c r="N246" i="51"/>
  <c r="P245" i="51"/>
  <c r="N245" i="51"/>
  <c r="P244" i="51"/>
  <c r="N244" i="51"/>
  <c r="P243" i="51"/>
  <c r="N243" i="51"/>
  <c r="P242" i="51"/>
  <c r="N242" i="51"/>
  <c r="P241" i="51"/>
  <c r="N241" i="51"/>
  <c r="P240" i="51"/>
  <c r="N240" i="51"/>
  <c r="P239" i="51"/>
  <c r="N239" i="51"/>
  <c r="P238" i="51"/>
  <c r="N238" i="51"/>
  <c r="P237" i="51"/>
  <c r="N237" i="51"/>
  <c r="P236" i="51"/>
  <c r="N236" i="51"/>
  <c r="P235" i="51"/>
  <c r="N235" i="51"/>
  <c r="P234" i="51"/>
  <c r="N234" i="51"/>
  <c r="P233" i="51"/>
  <c r="N233" i="51"/>
  <c r="P232" i="51"/>
  <c r="N232" i="51"/>
  <c r="P231" i="51"/>
  <c r="N231" i="51"/>
  <c r="P230" i="51"/>
  <c r="N230" i="51"/>
  <c r="P229" i="51"/>
  <c r="N229" i="51"/>
  <c r="P228" i="51"/>
  <c r="N228" i="51"/>
  <c r="P227" i="51"/>
  <c r="N227" i="51"/>
  <c r="P226" i="51"/>
  <c r="N226" i="51"/>
  <c r="P225" i="51"/>
  <c r="N225" i="51"/>
  <c r="P224" i="51"/>
  <c r="N224" i="51"/>
  <c r="P223" i="51"/>
  <c r="N223" i="51"/>
  <c r="P222" i="51"/>
  <c r="N222" i="51"/>
  <c r="P221" i="51"/>
  <c r="N221" i="51"/>
  <c r="P220" i="51"/>
  <c r="N220" i="51"/>
  <c r="P219" i="51"/>
  <c r="N219" i="51"/>
  <c r="P218" i="51"/>
  <c r="N218" i="51"/>
  <c r="P217" i="51"/>
  <c r="N217" i="51"/>
  <c r="P216" i="51"/>
  <c r="N216" i="51"/>
  <c r="P215" i="51"/>
  <c r="N215" i="51"/>
  <c r="P214" i="51"/>
  <c r="N214" i="51"/>
  <c r="P213" i="51"/>
  <c r="N213" i="51"/>
  <c r="P212" i="51"/>
  <c r="N212" i="51"/>
  <c r="P211" i="51"/>
  <c r="N211" i="51"/>
  <c r="P210" i="51"/>
  <c r="N210" i="51"/>
  <c r="P209" i="51"/>
  <c r="N209" i="51"/>
  <c r="P208" i="51"/>
  <c r="N208" i="51"/>
  <c r="P207" i="51"/>
  <c r="N207" i="51"/>
  <c r="P206" i="51"/>
  <c r="N206" i="51"/>
  <c r="P205" i="51"/>
  <c r="N205" i="51"/>
  <c r="P204" i="51"/>
  <c r="N204" i="51"/>
  <c r="P203" i="51"/>
  <c r="N203" i="51"/>
  <c r="P202" i="51"/>
  <c r="N202" i="51"/>
  <c r="P201" i="51"/>
  <c r="N201" i="51"/>
  <c r="P200" i="51"/>
  <c r="N200" i="51"/>
  <c r="P199" i="51"/>
  <c r="N199" i="51"/>
  <c r="P198" i="51"/>
  <c r="N198" i="51"/>
  <c r="P197" i="51"/>
  <c r="N197" i="51"/>
  <c r="P196" i="51"/>
  <c r="N196" i="51"/>
  <c r="P195" i="51"/>
  <c r="N195" i="51"/>
  <c r="P194" i="51"/>
  <c r="N194" i="51"/>
  <c r="P193" i="51"/>
  <c r="N193" i="51"/>
  <c r="P192" i="51"/>
  <c r="N192" i="51"/>
  <c r="P191" i="51"/>
  <c r="N191" i="51"/>
  <c r="P190" i="51"/>
  <c r="N190" i="51"/>
  <c r="P189" i="51"/>
  <c r="N189" i="51"/>
  <c r="P188" i="51"/>
  <c r="N188" i="51"/>
  <c r="P187" i="51"/>
  <c r="N187" i="51"/>
  <c r="P186" i="51"/>
  <c r="N186" i="51"/>
  <c r="P185" i="51"/>
  <c r="N185" i="51"/>
  <c r="P184" i="51"/>
  <c r="N184" i="51"/>
  <c r="P183" i="51"/>
  <c r="N183" i="51"/>
  <c r="P182" i="51"/>
  <c r="N182" i="51"/>
  <c r="P181" i="51"/>
  <c r="N181" i="51"/>
  <c r="P180" i="51"/>
  <c r="N180" i="51"/>
  <c r="P179" i="51"/>
  <c r="N179" i="51"/>
  <c r="P178" i="51"/>
  <c r="N178" i="51"/>
  <c r="P177" i="51"/>
  <c r="N177" i="51"/>
  <c r="P176" i="51"/>
  <c r="N176" i="51"/>
  <c r="P175" i="51"/>
  <c r="N175" i="51"/>
  <c r="P174" i="51"/>
  <c r="N174" i="51"/>
  <c r="P173" i="51"/>
  <c r="N173" i="51"/>
  <c r="P172" i="51"/>
  <c r="N172" i="51"/>
  <c r="P171" i="51"/>
  <c r="N171" i="51"/>
  <c r="P170" i="51"/>
  <c r="N170" i="51"/>
  <c r="P169" i="51"/>
  <c r="N169" i="51"/>
  <c r="P168" i="51"/>
  <c r="N168" i="51"/>
  <c r="P167" i="51"/>
  <c r="N167" i="51"/>
  <c r="P166" i="51"/>
  <c r="N166" i="51"/>
  <c r="P165" i="51"/>
  <c r="N165" i="51"/>
  <c r="P164" i="51"/>
  <c r="N164" i="51"/>
  <c r="P163" i="51"/>
  <c r="N163" i="51"/>
  <c r="P162" i="51"/>
  <c r="N162" i="51"/>
  <c r="P161" i="51"/>
  <c r="N161" i="51"/>
  <c r="P160" i="51"/>
  <c r="N160" i="51"/>
  <c r="P159" i="51"/>
  <c r="N159" i="51"/>
  <c r="P158" i="51"/>
  <c r="N158" i="51"/>
  <c r="P157" i="51"/>
  <c r="N157" i="51"/>
  <c r="P156" i="51"/>
  <c r="N156" i="51"/>
  <c r="P155" i="51"/>
  <c r="N155" i="51"/>
  <c r="P154" i="51"/>
  <c r="N154" i="51"/>
  <c r="P153" i="51"/>
  <c r="N153" i="51"/>
  <c r="P152" i="51"/>
  <c r="N152" i="51"/>
  <c r="P151" i="51"/>
  <c r="N151" i="51"/>
  <c r="P150" i="51"/>
  <c r="N150" i="51"/>
  <c r="P149" i="51"/>
  <c r="N149" i="51"/>
  <c r="P148" i="51"/>
  <c r="N148" i="51"/>
  <c r="P147" i="51"/>
  <c r="N147" i="51"/>
  <c r="P146" i="51"/>
  <c r="N146" i="51"/>
  <c r="P145" i="51"/>
  <c r="N145" i="51"/>
  <c r="P144" i="51"/>
  <c r="N144" i="51"/>
  <c r="P143" i="51"/>
  <c r="N143" i="51"/>
  <c r="P142" i="51"/>
  <c r="N142" i="51"/>
  <c r="P141" i="51"/>
  <c r="N141" i="51"/>
  <c r="P140" i="51"/>
  <c r="N140" i="51"/>
  <c r="P139" i="51"/>
  <c r="N139" i="51"/>
  <c r="P138" i="51"/>
  <c r="N138" i="51"/>
  <c r="P137" i="51"/>
  <c r="N137" i="51"/>
  <c r="P136" i="51"/>
  <c r="N136" i="51"/>
  <c r="P135" i="51"/>
  <c r="N135" i="51"/>
  <c r="P134" i="51"/>
  <c r="N134" i="51"/>
  <c r="P133" i="51"/>
  <c r="N133" i="51"/>
  <c r="P132" i="51"/>
  <c r="N132" i="51"/>
  <c r="P131" i="51"/>
  <c r="N131" i="51"/>
  <c r="P130" i="51"/>
  <c r="N130" i="51"/>
  <c r="P129" i="51"/>
  <c r="N129" i="51"/>
  <c r="P128" i="51"/>
  <c r="N128" i="51"/>
  <c r="P127" i="51"/>
  <c r="N127" i="51"/>
  <c r="P126" i="51"/>
  <c r="N126" i="51"/>
  <c r="P125" i="51"/>
  <c r="N125" i="51"/>
  <c r="P124" i="51"/>
  <c r="N124" i="51"/>
  <c r="P123" i="51"/>
  <c r="N123" i="51"/>
  <c r="P122" i="51"/>
  <c r="N122" i="51"/>
  <c r="P121" i="51"/>
  <c r="N121" i="51"/>
  <c r="P120" i="51"/>
  <c r="N120" i="51"/>
  <c r="P119" i="51"/>
  <c r="N119" i="51"/>
  <c r="P118" i="51"/>
  <c r="N118" i="51"/>
  <c r="P117" i="51"/>
  <c r="N117" i="51"/>
  <c r="P116" i="51"/>
  <c r="N116" i="51"/>
  <c r="P115" i="51"/>
  <c r="N115" i="51"/>
  <c r="P114" i="51"/>
  <c r="N114" i="51"/>
  <c r="P113" i="51"/>
  <c r="N113" i="51"/>
  <c r="P112" i="51"/>
  <c r="N112" i="51"/>
  <c r="P111" i="51"/>
  <c r="N111" i="51"/>
  <c r="P110" i="51"/>
  <c r="N110" i="51"/>
  <c r="P109" i="51"/>
  <c r="N109" i="51"/>
  <c r="P108" i="51"/>
  <c r="N108" i="51"/>
  <c r="P107" i="51"/>
  <c r="N107" i="51"/>
  <c r="P106" i="51"/>
  <c r="N106" i="51"/>
  <c r="P105" i="51"/>
  <c r="N105" i="51"/>
  <c r="P104" i="51"/>
  <c r="N104" i="51"/>
  <c r="P103" i="51"/>
  <c r="N103" i="51"/>
  <c r="P102" i="51"/>
  <c r="N102" i="51"/>
  <c r="P101" i="51"/>
  <c r="N101" i="51"/>
  <c r="P100" i="51"/>
  <c r="N100" i="51"/>
  <c r="P99" i="51"/>
  <c r="N99" i="51"/>
  <c r="P98" i="51"/>
  <c r="N98" i="51"/>
  <c r="P97" i="51"/>
  <c r="N97" i="51"/>
  <c r="P96" i="51"/>
  <c r="N96" i="51"/>
  <c r="P95" i="51"/>
  <c r="N95" i="51"/>
  <c r="P94" i="51"/>
  <c r="N94" i="51"/>
  <c r="P93" i="51"/>
  <c r="N93" i="51"/>
  <c r="P92" i="51"/>
  <c r="N92" i="51"/>
  <c r="P91" i="51"/>
  <c r="N91" i="51"/>
  <c r="P90" i="51"/>
  <c r="N90" i="51"/>
  <c r="P89" i="51"/>
  <c r="N89" i="51"/>
  <c r="P88" i="51"/>
  <c r="N88" i="51"/>
  <c r="P87" i="51"/>
  <c r="N87" i="51"/>
  <c r="P86" i="51"/>
  <c r="N86" i="51"/>
  <c r="P85" i="51"/>
  <c r="N85" i="51"/>
  <c r="P84" i="51"/>
  <c r="N84" i="51"/>
  <c r="P83" i="51"/>
  <c r="N83" i="51"/>
  <c r="P82" i="51"/>
  <c r="N82" i="51"/>
  <c r="P81" i="51"/>
  <c r="N81" i="51"/>
  <c r="P80" i="51"/>
  <c r="N80" i="51"/>
  <c r="P79" i="51"/>
  <c r="N79" i="51"/>
  <c r="P78" i="51"/>
  <c r="N78" i="51"/>
  <c r="P77" i="51"/>
  <c r="N77" i="51"/>
  <c r="P76" i="51"/>
  <c r="N76" i="51"/>
  <c r="P75" i="51"/>
  <c r="N75" i="51"/>
  <c r="P74" i="51"/>
  <c r="N74" i="51"/>
  <c r="P73" i="51"/>
  <c r="N73" i="51"/>
  <c r="P72" i="51"/>
  <c r="N72" i="51"/>
  <c r="P71" i="51"/>
  <c r="N71" i="51"/>
  <c r="P70" i="51"/>
  <c r="N70" i="51"/>
  <c r="P69" i="51"/>
  <c r="N69" i="51"/>
  <c r="P68" i="51"/>
  <c r="N68" i="51"/>
  <c r="P67" i="51"/>
  <c r="N67" i="51"/>
  <c r="P66" i="51"/>
  <c r="N66" i="51"/>
  <c r="P65" i="51"/>
  <c r="N65" i="51"/>
  <c r="P64" i="51"/>
  <c r="N64" i="51"/>
  <c r="P63" i="51"/>
  <c r="N63" i="51"/>
  <c r="P62" i="51"/>
  <c r="N62" i="51"/>
  <c r="P61" i="51"/>
  <c r="N61" i="51"/>
  <c r="P60" i="51"/>
  <c r="N60" i="51"/>
  <c r="P59" i="51"/>
  <c r="N59" i="51"/>
  <c r="P58" i="51"/>
  <c r="N58" i="51"/>
  <c r="P57" i="51"/>
  <c r="N57" i="51"/>
  <c r="P56" i="51"/>
  <c r="N56" i="51"/>
  <c r="P55" i="51"/>
  <c r="N55" i="51"/>
  <c r="P54" i="51"/>
  <c r="N54" i="51"/>
  <c r="P53" i="51"/>
  <c r="N53" i="51"/>
  <c r="P52" i="51"/>
  <c r="N52" i="51"/>
  <c r="P51" i="51"/>
  <c r="N51" i="51"/>
  <c r="P50" i="51"/>
  <c r="N50" i="51"/>
  <c r="P49" i="51"/>
  <c r="N49" i="51"/>
  <c r="P48" i="51"/>
  <c r="N48" i="51"/>
  <c r="P47" i="51"/>
  <c r="N47" i="51"/>
  <c r="P46" i="51"/>
  <c r="N46" i="51"/>
  <c r="P45" i="51"/>
  <c r="N45" i="51"/>
  <c r="P44" i="51"/>
  <c r="N44" i="51"/>
  <c r="P43" i="51"/>
  <c r="N43" i="51"/>
  <c r="P42" i="51"/>
  <c r="N42" i="51"/>
  <c r="P41" i="51"/>
  <c r="N41" i="51"/>
  <c r="P40" i="51"/>
  <c r="N40" i="51"/>
  <c r="P39" i="51"/>
  <c r="N39" i="51"/>
  <c r="P38" i="51"/>
  <c r="N38" i="51"/>
  <c r="P37" i="51"/>
  <c r="N37" i="51"/>
  <c r="P36" i="51"/>
  <c r="N36" i="51"/>
  <c r="P35" i="51"/>
  <c r="N35" i="51"/>
  <c r="P34" i="51"/>
  <c r="N34" i="51"/>
  <c r="H34" i="51"/>
  <c r="G34" i="51"/>
  <c r="P33" i="51"/>
  <c r="N33" i="51"/>
  <c r="H33" i="51"/>
  <c r="G33" i="51"/>
  <c r="P32" i="51"/>
  <c r="N32" i="51"/>
  <c r="H32" i="51"/>
  <c r="G32" i="51"/>
  <c r="P31" i="51"/>
  <c r="N31" i="51"/>
  <c r="H31" i="51"/>
  <c r="G31" i="51"/>
  <c r="P30" i="51"/>
  <c r="N30" i="51"/>
  <c r="H30" i="51"/>
  <c r="G30" i="51"/>
  <c r="P29" i="51"/>
  <c r="N29" i="51"/>
  <c r="H29" i="51"/>
  <c r="G29" i="51"/>
  <c r="P28" i="51"/>
  <c r="N28" i="51"/>
  <c r="H28" i="51"/>
  <c r="G28" i="51"/>
  <c r="P27" i="51"/>
  <c r="N27" i="51"/>
  <c r="H27" i="51"/>
  <c r="G27" i="51"/>
  <c r="P26" i="51"/>
  <c r="N26" i="51"/>
  <c r="H26" i="51"/>
  <c r="G26" i="51"/>
  <c r="P25" i="51"/>
  <c r="N25" i="51"/>
  <c r="H25" i="51"/>
  <c r="G25" i="51"/>
  <c r="P24" i="51"/>
  <c r="N24" i="51"/>
  <c r="H24" i="51"/>
  <c r="G24" i="51"/>
  <c r="P23" i="51"/>
  <c r="N23" i="51"/>
  <c r="H23" i="51"/>
  <c r="G23" i="51"/>
  <c r="P22" i="51"/>
  <c r="N22" i="51"/>
  <c r="H22" i="51"/>
  <c r="G22" i="51"/>
  <c r="P21" i="51"/>
  <c r="N21" i="51"/>
  <c r="H21" i="51"/>
  <c r="G21" i="51"/>
  <c r="P20" i="51"/>
  <c r="N20" i="51"/>
  <c r="H20" i="51"/>
  <c r="G20" i="51"/>
  <c r="P19" i="51"/>
  <c r="N19" i="51"/>
  <c r="H19" i="51"/>
  <c r="G19" i="51"/>
  <c r="H1" i="35"/>
  <c r="T41" i="51" l="1"/>
  <c r="R41" i="51"/>
  <c r="T61" i="51"/>
  <c r="R61" i="51"/>
  <c r="T73" i="51"/>
  <c r="R73" i="51"/>
  <c r="R89" i="51"/>
  <c r="T89" i="51"/>
  <c r="T101" i="51"/>
  <c r="R101" i="51"/>
  <c r="T113" i="51"/>
  <c r="R113" i="51"/>
  <c r="R125" i="51"/>
  <c r="T125" i="51"/>
  <c r="R137" i="51"/>
  <c r="T137" i="51"/>
  <c r="T149" i="51"/>
  <c r="R149" i="51"/>
  <c r="T161" i="51"/>
  <c r="R161" i="51"/>
  <c r="T173" i="51"/>
  <c r="R173" i="51"/>
  <c r="T185" i="51"/>
  <c r="R185" i="51"/>
  <c r="R197" i="51"/>
  <c r="T197" i="51"/>
  <c r="T209" i="51"/>
  <c r="R209" i="51"/>
  <c r="T221" i="51"/>
  <c r="R221" i="51"/>
  <c r="T233" i="51"/>
  <c r="R233" i="51"/>
  <c r="T245" i="51"/>
  <c r="R245" i="51"/>
  <c r="T257" i="51"/>
  <c r="R257" i="51"/>
  <c r="T269" i="51"/>
  <c r="R269" i="51"/>
  <c r="T281" i="51"/>
  <c r="R281" i="51"/>
  <c r="T293" i="51"/>
  <c r="R293" i="51"/>
  <c r="R305" i="51"/>
  <c r="T305" i="51"/>
  <c r="T317" i="51"/>
  <c r="R317" i="51"/>
  <c r="T329" i="51"/>
  <c r="R329" i="51"/>
  <c r="R341" i="51"/>
  <c r="T341" i="51"/>
  <c r="R349" i="51"/>
  <c r="T349" i="51"/>
  <c r="T361" i="51"/>
  <c r="R361" i="51"/>
  <c r="R365" i="51"/>
  <c r="T365" i="51"/>
  <c r="T377" i="51"/>
  <c r="R377" i="51"/>
  <c r="T385" i="51"/>
  <c r="R385" i="51"/>
  <c r="T397" i="51"/>
  <c r="R397" i="51"/>
  <c r="R409" i="51"/>
  <c r="T409" i="51"/>
  <c r="R425" i="51"/>
  <c r="T425" i="51"/>
  <c r="T481" i="51"/>
  <c r="R481" i="51"/>
  <c r="T29" i="51"/>
  <c r="R29" i="51"/>
  <c r="R485" i="51"/>
  <c r="T485" i="51"/>
  <c r="T489" i="51"/>
  <c r="R489" i="51"/>
  <c r="T493" i="51"/>
  <c r="R493" i="51"/>
  <c r="T32" i="51"/>
  <c r="R32" i="51"/>
  <c r="T53" i="51"/>
  <c r="R53" i="51"/>
  <c r="R69" i="51"/>
  <c r="T69" i="51"/>
  <c r="T77" i="51"/>
  <c r="R77" i="51"/>
  <c r="T85" i="51"/>
  <c r="R85" i="51"/>
  <c r="T97" i="51"/>
  <c r="R97" i="51"/>
  <c r="T109" i="51"/>
  <c r="R109" i="51"/>
  <c r="T121" i="51"/>
  <c r="R121" i="51"/>
  <c r="T129" i="51"/>
  <c r="R129" i="51"/>
  <c r="T141" i="51"/>
  <c r="R141" i="51"/>
  <c r="T153" i="51"/>
  <c r="R153" i="51"/>
  <c r="R169" i="51"/>
  <c r="T169" i="51"/>
  <c r="T181" i="51"/>
  <c r="R181" i="51"/>
  <c r="R193" i="51"/>
  <c r="T193" i="51"/>
  <c r="R205" i="51"/>
  <c r="T205" i="51"/>
  <c r="R217" i="51"/>
  <c r="T217" i="51"/>
  <c r="T229" i="51"/>
  <c r="R229" i="51"/>
  <c r="T241" i="51"/>
  <c r="R241" i="51"/>
  <c r="T253" i="51"/>
  <c r="R253" i="51"/>
  <c r="R261" i="51"/>
  <c r="T261" i="51"/>
  <c r="R273" i="51"/>
  <c r="T273" i="51"/>
  <c r="R285" i="51"/>
  <c r="T285" i="51"/>
  <c r="R297" i="51"/>
  <c r="T297" i="51"/>
  <c r="T309" i="51"/>
  <c r="R309" i="51"/>
  <c r="T321" i="51"/>
  <c r="R321" i="51"/>
  <c r="T333" i="51"/>
  <c r="R333" i="51"/>
  <c r="T345" i="51"/>
  <c r="R345" i="51"/>
  <c r="R357" i="51"/>
  <c r="T357" i="51"/>
  <c r="T369" i="51"/>
  <c r="R369" i="51"/>
  <c r="T389" i="51"/>
  <c r="R389" i="51"/>
  <c r="T401" i="51"/>
  <c r="R401" i="51"/>
  <c r="T413" i="51"/>
  <c r="R413" i="51"/>
  <c r="R417" i="51"/>
  <c r="T417" i="51"/>
  <c r="T429" i="51"/>
  <c r="R429" i="51"/>
  <c r="R433" i="51"/>
  <c r="T433" i="51"/>
  <c r="T437" i="51"/>
  <c r="R437" i="51"/>
  <c r="T441" i="51"/>
  <c r="R441" i="51"/>
  <c r="T445" i="51"/>
  <c r="R445" i="51"/>
  <c r="T449" i="51"/>
  <c r="R449" i="51"/>
  <c r="R453" i="51"/>
  <c r="T453" i="51"/>
  <c r="T457" i="51"/>
  <c r="R457" i="51"/>
  <c r="T465" i="51"/>
  <c r="R465" i="51"/>
  <c r="T473" i="51"/>
  <c r="R473" i="51"/>
  <c r="T477" i="51"/>
  <c r="R477" i="51"/>
  <c r="T21" i="51"/>
  <c r="R21" i="51"/>
  <c r="T34" i="51"/>
  <c r="R34" i="51"/>
  <c r="R38" i="51"/>
  <c r="T38" i="51"/>
  <c r="T42" i="51"/>
  <c r="R42" i="51"/>
  <c r="R46" i="51"/>
  <c r="T46" i="51"/>
  <c r="T50" i="51"/>
  <c r="R50" i="51"/>
  <c r="T54" i="51"/>
  <c r="R54" i="51"/>
  <c r="T58" i="51"/>
  <c r="R58" i="51"/>
  <c r="T62" i="51"/>
  <c r="R62" i="51"/>
  <c r="T66" i="51"/>
  <c r="R66" i="51"/>
  <c r="T70" i="51"/>
  <c r="R70" i="51"/>
  <c r="T74" i="51"/>
  <c r="R74" i="51"/>
  <c r="R78" i="51"/>
  <c r="T78" i="51"/>
  <c r="T82" i="51"/>
  <c r="R82" i="51"/>
  <c r="T86" i="51"/>
  <c r="R86" i="51"/>
  <c r="T90" i="51"/>
  <c r="R90" i="51"/>
  <c r="T94" i="51"/>
  <c r="R94" i="51"/>
  <c r="R98" i="51"/>
  <c r="T98" i="51"/>
  <c r="T102" i="51"/>
  <c r="R102" i="51"/>
  <c r="T106" i="51"/>
  <c r="R106" i="51"/>
  <c r="T110" i="51"/>
  <c r="R110" i="51"/>
  <c r="R114" i="51"/>
  <c r="T114" i="51"/>
  <c r="R118" i="51"/>
  <c r="T118" i="51"/>
  <c r="T122" i="51"/>
  <c r="R122" i="51"/>
  <c r="T126" i="51"/>
  <c r="R126" i="51"/>
  <c r="R130" i="51"/>
  <c r="T130" i="51"/>
  <c r="T134" i="51"/>
  <c r="R134" i="51"/>
  <c r="T138" i="51"/>
  <c r="R138" i="51"/>
  <c r="R142" i="51"/>
  <c r="T142" i="51"/>
  <c r="T146" i="51"/>
  <c r="R146" i="51"/>
  <c r="T150" i="51"/>
  <c r="R150" i="51"/>
  <c r="R154" i="51"/>
  <c r="T154" i="51"/>
  <c r="T158" i="51"/>
  <c r="R158" i="51"/>
  <c r="T162" i="51"/>
  <c r="R162" i="51"/>
  <c r="T166" i="51"/>
  <c r="R166" i="51"/>
  <c r="T170" i="51"/>
  <c r="R170" i="51"/>
  <c r="R174" i="51"/>
  <c r="T174" i="51"/>
  <c r="T178" i="51"/>
  <c r="R178" i="51"/>
  <c r="T182" i="51"/>
  <c r="R182" i="51"/>
  <c r="R186" i="51"/>
  <c r="T186" i="51"/>
  <c r="T190" i="51"/>
  <c r="R190" i="51"/>
  <c r="T194" i="51"/>
  <c r="R194" i="51"/>
  <c r="T198" i="51"/>
  <c r="R198" i="51"/>
  <c r="T202" i="51"/>
  <c r="R202" i="51"/>
  <c r="T206" i="51"/>
  <c r="R206" i="51"/>
  <c r="R210" i="51"/>
  <c r="T210" i="51"/>
  <c r="T214" i="51"/>
  <c r="R214" i="51"/>
  <c r="T218" i="51"/>
  <c r="R218" i="51"/>
  <c r="R222" i="51"/>
  <c r="T222" i="51"/>
  <c r="T226" i="51"/>
  <c r="R226" i="51"/>
  <c r="T230" i="51"/>
  <c r="R230" i="51"/>
  <c r="R234" i="51"/>
  <c r="T234" i="51"/>
  <c r="T238" i="51"/>
  <c r="R238" i="51"/>
  <c r="R242" i="51"/>
  <c r="T242" i="51"/>
  <c r="T246" i="51"/>
  <c r="R246" i="51"/>
  <c r="T250" i="51"/>
  <c r="R250" i="51"/>
  <c r="T254" i="51"/>
  <c r="R254" i="51"/>
  <c r="T258" i="51"/>
  <c r="R258" i="51"/>
  <c r="T262" i="51"/>
  <c r="R262" i="51"/>
  <c r="T266" i="51"/>
  <c r="R266" i="51"/>
  <c r="T270" i="51"/>
  <c r="R270" i="51"/>
  <c r="T274" i="51"/>
  <c r="R274" i="51"/>
  <c r="R278" i="51"/>
  <c r="T278" i="51"/>
  <c r="T282" i="51"/>
  <c r="R282" i="51"/>
  <c r="T286" i="51"/>
  <c r="R286" i="51"/>
  <c r="R290" i="51"/>
  <c r="T290" i="51"/>
  <c r="T294" i="51"/>
  <c r="R294" i="51"/>
  <c r="T298" i="51"/>
  <c r="R298" i="51"/>
  <c r="R302" i="51"/>
  <c r="T302" i="51"/>
  <c r="T306" i="51"/>
  <c r="R306" i="51"/>
  <c r="R310" i="51"/>
  <c r="T310" i="51"/>
  <c r="T314" i="51"/>
  <c r="R314" i="51"/>
  <c r="R318" i="51"/>
  <c r="T318" i="51"/>
  <c r="T322" i="51"/>
  <c r="R322" i="51"/>
  <c r="T326" i="51"/>
  <c r="R326" i="51"/>
  <c r="T330" i="51"/>
  <c r="R330" i="51"/>
  <c r="T334" i="51"/>
  <c r="R334" i="51"/>
  <c r="T338" i="51"/>
  <c r="R338" i="51"/>
  <c r="T342" i="51"/>
  <c r="R342" i="51"/>
  <c r="T346" i="51"/>
  <c r="R346" i="51"/>
  <c r="T350" i="51"/>
  <c r="R350" i="51"/>
  <c r="T354" i="51"/>
  <c r="R354" i="51"/>
  <c r="T358" i="51"/>
  <c r="R358" i="51"/>
  <c r="R362" i="51"/>
  <c r="T362" i="51"/>
  <c r="T366" i="51"/>
  <c r="R366" i="51"/>
  <c r="R370" i="51"/>
  <c r="T370" i="51"/>
  <c r="T374" i="51"/>
  <c r="R374" i="51"/>
  <c r="R378" i="51"/>
  <c r="T378" i="51"/>
  <c r="T382" i="51"/>
  <c r="R382" i="51"/>
  <c r="R386" i="51"/>
  <c r="T386" i="51"/>
  <c r="T390" i="51"/>
  <c r="R390" i="51"/>
  <c r="T394" i="51"/>
  <c r="R394" i="51"/>
  <c r="T398" i="51"/>
  <c r="R398" i="51"/>
  <c r="T402" i="51"/>
  <c r="R402" i="51"/>
  <c r="T406" i="51"/>
  <c r="R406" i="51"/>
  <c r="T410" i="51"/>
  <c r="R410" i="51"/>
  <c r="T414" i="51"/>
  <c r="R414" i="51"/>
  <c r="T418" i="51"/>
  <c r="R418" i="51"/>
  <c r="R422" i="51"/>
  <c r="T422" i="51"/>
  <c r="T426" i="51"/>
  <c r="R426" i="51"/>
  <c r="R430" i="51"/>
  <c r="T430" i="51"/>
  <c r="T434" i="51"/>
  <c r="R434" i="51"/>
  <c r="R438" i="51"/>
  <c r="T438" i="51"/>
  <c r="T442" i="51"/>
  <c r="R442" i="51"/>
  <c r="R446" i="51"/>
  <c r="T446" i="51"/>
  <c r="T450" i="51"/>
  <c r="R450" i="51"/>
  <c r="T454" i="51"/>
  <c r="R454" i="51"/>
  <c r="T458" i="51"/>
  <c r="R458" i="51"/>
  <c r="R462" i="51"/>
  <c r="T462" i="51"/>
  <c r="T466" i="51"/>
  <c r="R466" i="51"/>
  <c r="T470" i="51"/>
  <c r="R470" i="51"/>
  <c r="T474" i="51"/>
  <c r="R474" i="51"/>
  <c r="R478" i="51"/>
  <c r="T478" i="51"/>
  <c r="T482" i="51"/>
  <c r="R482" i="51"/>
  <c r="T45" i="51"/>
  <c r="R45" i="51"/>
  <c r="T65" i="51"/>
  <c r="R65" i="51"/>
  <c r="T81" i="51"/>
  <c r="R81" i="51"/>
  <c r="T93" i="51"/>
  <c r="R93" i="51"/>
  <c r="R105" i="51"/>
  <c r="T105" i="51"/>
  <c r="T117" i="51"/>
  <c r="R117" i="51"/>
  <c r="T133" i="51"/>
  <c r="R133" i="51"/>
  <c r="T145" i="51"/>
  <c r="R145" i="51"/>
  <c r="T157" i="51"/>
  <c r="R157" i="51"/>
  <c r="T165" i="51"/>
  <c r="R165" i="51"/>
  <c r="T177" i="51"/>
  <c r="R177" i="51"/>
  <c r="T189" i="51"/>
  <c r="R189" i="51"/>
  <c r="T201" i="51"/>
  <c r="R201" i="51"/>
  <c r="T213" i="51"/>
  <c r="R213" i="51"/>
  <c r="R225" i="51"/>
  <c r="T225" i="51"/>
  <c r="T237" i="51"/>
  <c r="R237" i="51"/>
  <c r="T249" i="51"/>
  <c r="R249" i="51"/>
  <c r="T265" i="51"/>
  <c r="R265" i="51"/>
  <c r="T277" i="51"/>
  <c r="R277" i="51"/>
  <c r="T289" i="51"/>
  <c r="R289" i="51"/>
  <c r="T301" i="51"/>
  <c r="R301" i="51"/>
  <c r="T313" i="51"/>
  <c r="R313" i="51"/>
  <c r="T325" i="51"/>
  <c r="R325" i="51"/>
  <c r="T337" i="51"/>
  <c r="R337" i="51"/>
  <c r="T353" i="51"/>
  <c r="R353" i="51"/>
  <c r="T373" i="51"/>
  <c r="R373" i="51"/>
  <c r="T381" i="51"/>
  <c r="R381" i="51"/>
  <c r="T393" i="51"/>
  <c r="R393" i="51"/>
  <c r="T405" i="51"/>
  <c r="R405" i="51"/>
  <c r="T421" i="51"/>
  <c r="R421" i="51"/>
  <c r="T461" i="51"/>
  <c r="R461" i="51"/>
  <c r="R469" i="51"/>
  <c r="T469" i="51"/>
  <c r="T26" i="51"/>
  <c r="R26" i="51"/>
  <c r="T23" i="51"/>
  <c r="R23" i="51"/>
  <c r="T31" i="51"/>
  <c r="R31" i="51"/>
  <c r="T486" i="51"/>
  <c r="R486" i="51"/>
  <c r="T490" i="51"/>
  <c r="R490" i="51"/>
  <c r="T37" i="51"/>
  <c r="R37" i="51"/>
  <c r="T28" i="51"/>
  <c r="R28" i="51"/>
  <c r="T39" i="51"/>
  <c r="R39" i="51"/>
  <c r="T55" i="51"/>
  <c r="R55" i="51"/>
  <c r="T75" i="51"/>
  <c r="R75" i="51"/>
  <c r="T95" i="51"/>
  <c r="R95" i="51"/>
  <c r="R159" i="51"/>
  <c r="T159" i="51"/>
  <c r="T411" i="51"/>
  <c r="R411" i="51"/>
  <c r="T415" i="51"/>
  <c r="R415" i="51"/>
  <c r="T419" i="51"/>
  <c r="R419" i="51"/>
  <c r="T423" i="51"/>
  <c r="R423" i="51"/>
  <c r="T427" i="51"/>
  <c r="R427" i="51"/>
  <c r="T431" i="51"/>
  <c r="R431" i="51"/>
  <c r="R435" i="51"/>
  <c r="T435" i="51"/>
  <c r="T439" i="51"/>
  <c r="R439" i="51"/>
  <c r="R443" i="51"/>
  <c r="T443" i="51"/>
  <c r="T447" i="51"/>
  <c r="R447" i="51"/>
  <c r="R451" i="51"/>
  <c r="T451" i="51"/>
  <c r="T455" i="51"/>
  <c r="R455" i="51"/>
  <c r="T459" i="51"/>
  <c r="R459" i="51"/>
  <c r="T463" i="51"/>
  <c r="R463" i="51"/>
  <c r="R467" i="51"/>
  <c r="T467" i="51"/>
  <c r="T471" i="51"/>
  <c r="R471" i="51"/>
  <c r="T475" i="51"/>
  <c r="R475" i="51"/>
  <c r="T479" i="51"/>
  <c r="R479" i="51"/>
  <c r="T483" i="51"/>
  <c r="R483" i="51"/>
  <c r="T57" i="51"/>
  <c r="R57" i="51"/>
  <c r="R35" i="51"/>
  <c r="T35" i="51"/>
  <c r="R51" i="51"/>
  <c r="T51" i="51"/>
  <c r="T63" i="51"/>
  <c r="R63" i="51"/>
  <c r="T79" i="51"/>
  <c r="R79" i="51"/>
  <c r="R87" i="51"/>
  <c r="T87" i="51"/>
  <c r="T99" i="51"/>
  <c r="R99" i="51"/>
  <c r="R107" i="51"/>
  <c r="T107" i="51"/>
  <c r="T119" i="51"/>
  <c r="R119" i="51"/>
  <c r="T127" i="51"/>
  <c r="R127" i="51"/>
  <c r="T135" i="51"/>
  <c r="R135" i="51"/>
  <c r="T143" i="51"/>
  <c r="R143" i="51"/>
  <c r="R147" i="51"/>
  <c r="T147" i="51"/>
  <c r="T155" i="51"/>
  <c r="R155" i="51"/>
  <c r="T167" i="51"/>
  <c r="R167" i="51"/>
  <c r="T175" i="51"/>
  <c r="R175" i="51"/>
  <c r="T183" i="51"/>
  <c r="R183" i="51"/>
  <c r="T191" i="51"/>
  <c r="R191" i="51"/>
  <c r="T199" i="51"/>
  <c r="R199" i="51"/>
  <c r="T211" i="51"/>
  <c r="R211" i="51"/>
  <c r="T219" i="51"/>
  <c r="R219" i="51"/>
  <c r="R227" i="51"/>
  <c r="T227" i="51"/>
  <c r="T231" i="51"/>
  <c r="R231" i="51"/>
  <c r="R239" i="51"/>
  <c r="T239" i="51"/>
  <c r="T247" i="51"/>
  <c r="R247" i="51"/>
  <c r="T255" i="51"/>
  <c r="R255" i="51"/>
  <c r="R263" i="51"/>
  <c r="T263" i="51"/>
  <c r="T267" i="51"/>
  <c r="R267" i="51"/>
  <c r="T275" i="51"/>
  <c r="R275" i="51"/>
  <c r="T283" i="51"/>
  <c r="R283" i="51"/>
  <c r="T291" i="51"/>
  <c r="R291" i="51"/>
  <c r="T299" i="51"/>
  <c r="R299" i="51"/>
  <c r="R307" i="51"/>
  <c r="T307" i="51"/>
  <c r="T319" i="51"/>
  <c r="R319" i="51"/>
  <c r="T327" i="51"/>
  <c r="R327" i="51"/>
  <c r="R375" i="51"/>
  <c r="T375" i="51"/>
  <c r="T379" i="51"/>
  <c r="R379" i="51"/>
  <c r="T387" i="51"/>
  <c r="R387" i="51"/>
  <c r="T395" i="51"/>
  <c r="R395" i="51"/>
  <c r="R399" i="51"/>
  <c r="T399" i="51"/>
  <c r="T403" i="51"/>
  <c r="R403" i="51"/>
  <c r="T407" i="51"/>
  <c r="R407" i="51"/>
  <c r="R25" i="51"/>
  <c r="T25" i="51"/>
  <c r="R33" i="51"/>
  <c r="T33" i="51"/>
  <c r="R487" i="51"/>
  <c r="T487" i="51"/>
  <c r="T491" i="51"/>
  <c r="R491" i="51"/>
  <c r="R494" i="51"/>
  <c r="S494" i="51" s="1"/>
  <c r="T24" i="51"/>
  <c r="R24" i="51"/>
  <c r="T49" i="51"/>
  <c r="R49" i="51"/>
  <c r="R43" i="51"/>
  <c r="T43" i="51"/>
  <c r="T67" i="51"/>
  <c r="R67" i="51"/>
  <c r="T111" i="51"/>
  <c r="R111" i="51"/>
  <c r="R331" i="51"/>
  <c r="T331" i="51"/>
  <c r="T335" i="51"/>
  <c r="R335" i="51"/>
  <c r="T339" i="51"/>
  <c r="R339" i="51"/>
  <c r="T343" i="51"/>
  <c r="R343" i="51"/>
  <c r="T347" i="51"/>
  <c r="R347" i="51"/>
  <c r="T351" i="51"/>
  <c r="R351" i="51"/>
  <c r="T359" i="51"/>
  <c r="R359" i="51"/>
  <c r="T363" i="51"/>
  <c r="R363" i="51"/>
  <c r="T371" i="51"/>
  <c r="R371" i="51"/>
  <c r="R391" i="51"/>
  <c r="T391" i="51"/>
  <c r="R22" i="51"/>
  <c r="T22" i="51"/>
  <c r="T36" i="51"/>
  <c r="R36" i="51"/>
  <c r="T44" i="51"/>
  <c r="R44" i="51"/>
  <c r="T52" i="51"/>
  <c r="R52" i="51"/>
  <c r="R56" i="51"/>
  <c r="T56" i="51"/>
  <c r="R64" i="51"/>
  <c r="T64" i="51"/>
  <c r="T68" i="51"/>
  <c r="R68" i="51"/>
  <c r="T72" i="51"/>
  <c r="R72" i="51"/>
  <c r="R76" i="51"/>
  <c r="T76" i="51"/>
  <c r="R80" i="51"/>
  <c r="T80" i="51"/>
  <c r="T84" i="51"/>
  <c r="R84" i="51"/>
  <c r="T88" i="51"/>
  <c r="R88" i="51"/>
  <c r="T92" i="51"/>
  <c r="R92" i="51"/>
  <c r="R96" i="51"/>
  <c r="T96" i="51"/>
  <c r="R100" i="51"/>
  <c r="T100" i="51"/>
  <c r="T104" i="51"/>
  <c r="R104" i="51"/>
  <c r="T108" i="51"/>
  <c r="R108" i="51"/>
  <c r="R112" i="51"/>
  <c r="T112" i="51"/>
  <c r="R116" i="51"/>
  <c r="T116" i="51"/>
  <c r="T120" i="51"/>
  <c r="R120" i="51"/>
  <c r="T124" i="51"/>
  <c r="R124" i="51"/>
  <c r="T128" i="51"/>
  <c r="R128" i="51"/>
  <c r="R132" i="51"/>
  <c r="T132" i="51"/>
  <c r="T136" i="51"/>
  <c r="R136" i="51"/>
  <c r="T140" i="51"/>
  <c r="R140" i="51"/>
  <c r="T144" i="51"/>
  <c r="R144" i="51"/>
  <c r="T148" i="51"/>
  <c r="R148" i="51"/>
  <c r="T152" i="51"/>
  <c r="R152" i="51"/>
  <c r="T156" i="51"/>
  <c r="R156" i="51"/>
  <c r="T160" i="51"/>
  <c r="R160" i="51"/>
  <c r="R164" i="51"/>
  <c r="T164" i="51"/>
  <c r="T168" i="51"/>
  <c r="R168" i="51"/>
  <c r="T172" i="51"/>
  <c r="R172" i="51"/>
  <c r="T176" i="51"/>
  <c r="R176" i="51"/>
  <c r="T180" i="51"/>
  <c r="R180" i="51"/>
  <c r="T184" i="51"/>
  <c r="R184" i="51"/>
  <c r="T188" i="51"/>
  <c r="R188" i="51"/>
  <c r="T192" i="51"/>
  <c r="R192" i="51"/>
  <c r="T196" i="51"/>
  <c r="R196" i="51"/>
  <c r="R200" i="51"/>
  <c r="T200" i="51"/>
  <c r="T204" i="51"/>
  <c r="R204" i="51"/>
  <c r="T208" i="51"/>
  <c r="R208" i="51"/>
  <c r="T212" i="51"/>
  <c r="R212" i="51"/>
  <c r="T216" i="51"/>
  <c r="R216" i="51"/>
  <c r="T220" i="51"/>
  <c r="R220" i="51"/>
  <c r="T224" i="51"/>
  <c r="R224" i="51"/>
  <c r="T228" i="51"/>
  <c r="R228" i="51"/>
  <c r="R232" i="51"/>
  <c r="T232" i="51"/>
  <c r="T236" i="51"/>
  <c r="R236" i="51"/>
  <c r="T240" i="51"/>
  <c r="R240" i="51"/>
  <c r="R244" i="51"/>
  <c r="T244" i="51"/>
  <c r="T248" i="51"/>
  <c r="R248" i="51"/>
  <c r="T252" i="51"/>
  <c r="R252" i="51"/>
  <c r="R256" i="51"/>
  <c r="T256" i="51"/>
  <c r="T260" i="51"/>
  <c r="R260" i="51"/>
  <c r="T264" i="51"/>
  <c r="R264" i="51"/>
  <c r="R268" i="51"/>
  <c r="T268" i="51"/>
  <c r="T272" i="51"/>
  <c r="R272" i="51"/>
  <c r="T276" i="51"/>
  <c r="R276" i="51"/>
  <c r="R280" i="51"/>
  <c r="T280" i="51"/>
  <c r="T284" i="51"/>
  <c r="R284" i="51"/>
  <c r="T288" i="51"/>
  <c r="R288" i="51"/>
  <c r="T292" i="51"/>
  <c r="R292" i="51"/>
  <c r="T296" i="51"/>
  <c r="R296" i="51"/>
  <c r="T300" i="51"/>
  <c r="R300" i="51"/>
  <c r="T304" i="51"/>
  <c r="R304" i="51"/>
  <c r="T308" i="51"/>
  <c r="R308" i="51"/>
  <c r="T312" i="51"/>
  <c r="R312" i="51"/>
  <c r="T316" i="51"/>
  <c r="R316" i="51"/>
  <c r="T320" i="51"/>
  <c r="R320" i="51"/>
  <c r="T324" i="51"/>
  <c r="R324" i="51"/>
  <c r="R328" i="51"/>
  <c r="T328" i="51"/>
  <c r="T332" i="51"/>
  <c r="R332" i="51"/>
  <c r="R336" i="51"/>
  <c r="T336" i="51"/>
  <c r="T340" i="51"/>
  <c r="R340" i="51"/>
  <c r="R344" i="51"/>
  <c r="T344" i="51"/>
  <c r="T348" i="51"/>
  <c r="R348" i="51"/>
  <c r="R352" i="51"/>
  <c r="T352" i="51"/>
  <c r="T356" i="51"/>
  <c r="R356" i="51"/>
  <c r="T360" i="51"/>
  <c r="R360" i="51"/>
  <c r="T364" i="51"/>
  <c r="R364" i="51"/>
  <c r="T368" i="51"/>
  <c r="R368" i="51"/>
  <c r="T372" i="51"/>
  <c r="R372" i="51"/>
  <c r="T376" i="51"/>
  <c r="R376" i="51"/>
  <c r="T380" i="51"/>
  <c r="R380" i="51"/>
  <c r="T384" i="51"/>
  <c r="R384" i="51"/>
  <c r="R388" i="51"/>
  <c r="T388" i="51"/>
  <c r="T392" i="51"/>
  <c r="R392" i="51"/>
  <c r="R396" i="51"/>
  <c r="T396" i="51"/>
  <c r="T400" i="51"/>
  <c r="R400" i="51"/>
  <c r="R404" i="51"/>
  <c r="T404" i="51"/>
  <c r="T408" i="51"/>
  <c r="R408" i="51"/>
  <c r="R412" i="51"/>
  <c r="T412" i="51"/>
  <c r="T416" i="51"/>
  <c r="R416" i="51"/>
  <c r="T420" i="51"/>
  <c r="R420" i="51"/>
  <c r="T424" i="51"/>
  <c r="R424" i="51"/>
  <c r="T428" i="51"/>
  <c r="R428" i="51"/>
  <c r="T432" i="51"/>
  <c r="R432" i="51"/>
  <c r="T436" i="51"/>
  <c r="R436" i="51"/>
  <c r="T440" i="51"/>
  <c r="R440" i="51"/>
  <c r="T444" i="51"/>
  <c r="R444" i="51"/>
  <c r="T448" i="51"/>
  <c r="R448" i="51"/>
  <c r="T452" i="51"/>
  <c r="R452" i="51"/>
  <c r="T456" i="51"/>
  <c r="R456" i="51"/>
  <c r="R460" i="51"/>
  <c r="T460" i="51"/>
  <c r="T464" i="51"/>
  <c r="R464" i="51"/>
  <c r="T468" i="51"/>
  <c r="R468" i="51"/>
  <c r="T472" i="51"/>
  <c r="R472" i="51"/>
  <c r="R476" i="51"/>
  <c r="T476" i="51"/>
  <c r="T480" i="51"/>
  <c r="R480" i="51"/>
  <c r="T20" i="51"/>
  <c r="R20" i="51"/>
  <c r="T47" i="51"/>
  <c r="R47" i="51"/>
  <c r="R59" i="51"/>
  <c r="T59" i="51"/>
  <c r="R71" i="51"/>
  <c r="T71" i="51"/>
  <c r="T83" i="51"/>
  <c r="R83" i="51"/>
  <c r="T91" i="51"/>
  <c r="R91" i="51"/>
  <c r="T103" i="51"/>
  <c r="R103" i="51"/>
  <c r="T115" i="51"/>
  <c r="R115" i="51"/>
  <c r="R123" i="51"/>
  <c r="T123" i="51"/>
  <c r="T131" i="51"/>
  <c r="R131" i="51"/>
  <c r="R139" i="51"/>
  <c r="T139" i="51"/>
  <c r="T151" i="51"/>
  <c r="R151" i="51"/>
  <c r="T163" i="51"/>
  <c r="R163" i="51"/>
  <c r="R171" i="51"/>
  <c r="T171" i="51"/>
  <c r="R179" i="51"/>
  <c r="T179" i="51"/>
  <c r="T187" i="51"/>
  <c r="R187" i="51"/>
  <c r="R195" i="51"/>
  <c r="T195" i="51"/>
  <c r="T203" i="51"/>
  <c r="R203" i="51"/>
  <c r="T207" i="51"/>
  <c r="R207" i="51"/>
  <c r="R215" i="51"/>
  <c r="T215" i="51"/>
  <c r="T223" i="51"/>
  <c r="R223" i="51"/>
  <c r="T235" i="51"/>
  <c r="R235" i="51"/>
  <c r="T243" i="51"/>
  <c r="R243" i="51"/>
  <c r="R251" i="51"/>
  <c r="T251" i="51"/>
  <c r="T259" i="51"/>
  <c r="R259" i="51"/>
  <c r="T271" i="51"/>
  <c r="R271" i="51"/>
  <c r="T279" i="51"/>
  <c r="R279" i="51"/>
  <c r="T287" i="51"/>
  <c r="R287" i="51"/>
  <c r="T295" i="51"/>
  <c r="R295" i="51"/>
  <c r="T303" i="51"/>
  <c r="R303" i="51"/>
  <c r="T311" i="51"/>
  <c r="R311" i="51"/>
  <c r="R315" i="51"/>
  <c r="T315" i="51"/>
  <c r="R323" i="51"/>
  <c r="T323" i="51"/>
  <c r="T355" i="51"/>
  <c r="R355" i="51"/>
  <c r="T367" i="51"/>
  <c r="R367" i="51"/>
  <c r="R383" i="51"/>
  <c r="T383" i="51"/>
  <c r="R30" i="51"/>
  <c r="T30" i="51"/>
  <c r="T40" i="51"/>
  <c r="R40" i="51"/>
  <c r="T48" i="51"/>
  <c r="R48" i="51"/>
  <c r="T60" i="51"/>
  <c r="R60" i="51"/>
  <c r="T19" i="51"/>
  <c r="R19" i="51"/>
  <c r="T27" i="51"/>
  <c r="R27" i="51"/>
  <c r="T484" i="51"/>
  <c r="R484" i="51"/>
  <c r="T488" i="51"/>
  <c r="R488" i="51"/>
  <c r="T492" i="51"/>
  <c r="R492" i="51"/>
  <c r="T495" i="51"/>
  <c r="T496" i="51"/>
  <c r="R496" i="51"/>
  <c r="S496" i="51" s="1"/>
  <c r="T497" i="51"/>
  <c r="R497" i="51"/>
  <c r="S497" i="51" s="1"/>
  <c r="G17" i="51"/>
  <c r="R498" i="51"/>
  <c r="S498" i="51" s="1"/>
  <c r="O39" i="49"/>
  <c r="O39" i="48"/>
  <c r="O39" i="47"/>
  <c r="O39" i="45"/>
  <c r="O39" i="44"/>
  <c r="O39" i="43"/>
  <c r="L37" i="1" l="1"/>
  <c r="L36" i="1" l="1"/>
  <c r="F10" i="50"/>
  <c r="E10" i="50"/>
  <c r="D10" i="50"/>
  <c r="F6" i="50"/>
  <c r="F8" i="50" s="1"/>
  <c r="F14" i="50" s="1"/>
  <c r="E6" i="50"/>
  <c r="E8" i="50" s="1"/>
  <c r="I25" i="48" s="1"/>
  <c r="O25" i="48" s="1"/>
  <c r="D6" i="50"/>
  <c r="D8" i="50" s="1"/>
  <c r="I43" i="49"/>
  <c r="L42" i="49"/>
  <c r="F42" i="49"/>
  <c r="O38" i="49"/>
  <c r="L18" i="49"/>
  <c r="D7" i="49"/>
  <c r="D6" i="49"/>
  <c r="C4" i="49"/>
  <c r="I43" i="48"/>
  <c r="L42" i="48"/>
  <c r="F42" i="48"/>
  <c r="O38" i="48"/>
  <c r="L18" i="48"/>
  <c r="D7" i="48"/>
  <c r="D6" i="48"/>
  <c r="C4" i="48"/>
  <c r="I43" i="47"/>
  <c r="L42" i="47"/>
  <c r="F42" i="47"/>
  <c r="O38" i="47"/>
  <c r="L18" i="47"/>
  <c r="D7" i="47"/>
  <c r="D6" i="47"/>
  <c r="C4" i="47"/>
  <c r="F10" i="46"/>
  <c r="E10" i="46"/>
  <c r="D10" i="46"/>
  <c r="F6" i="46"/>
  <c r="F8" i="46" s="1"/>
  <c r="E6" i="46"/>
  <c r="E8" i="46" s="1"/>
  <c r="D6" i="46"/>
  <c r="D8" i="46" s="1"/>
  <c r="I43" i="45"/>
  <c r="L42" i="45"/>
  <c r="F42" i="45"/>
  <c r="O38" i="45"/>
  <c r="L18" i="45"/>
  <c r="D7" i="45"/>
  <c r="D6" i="45"/>
  <c r="C4" i="45"/>
  <c r="I43" i="44"/>
  <c r="L42" i="44"/>
  <c r="F42" i="44"/>
  <c r="O38" i="44"/>
  <c r="L18" i="44"/>
  <c r="D7" i="44"/>
  <c r="D6" i="44"/>
  <c r="C4" i="44"/>
  <c r="I43" i="43"/>
  <c r="L42" i="43"/>
  <c r="F42" i="43"/>
  <c r="O38" i="43"/>
  <c r="L18" i="43"/>
  <c r="D7" i="43"/>
  <c r="D6" i="43"/>
  <c r="C4" i="43"/>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O40" i="44" l="1"/>
  <c r="I46" i="44" s="1"/>
  <c r="O40" i="49"/>
  <c r="I46" i="49" s="1"/>
  <c r="O40" i="43"/>
  <c r="I46" i="43" s="1"/>
  <c r="O40" i="47"/>
  <c r="I46" i="47" s="1"/>
  <c r="O40" i="48"/>
  <c r="I46" i="48" s="1"/>
  <c r="O40" i="45"/>
  <c r="I46" i="45" s="1"/>
  <c r="F14" i="46"/>
  <c r="I24" i="45"/>
  <c r="O24" i="45" s="1"/>
  <c r="D14" i="46"/>
  <c r="I24" i="43"/>
  <c r="O24" i="43" s="1"/>
  <c r="I18" i="43"/>
  <c r="O18" i="43" s="1"/>
  <c r="I17" i="43"/>
  <c r="O17" i="43" s="1"/>
  <c r="I16" i="43"/>
  <c r="O16" i="43" s="1"/>
  <c r="I23" i="43"/>
  <c r="O23" i="43" s="1"/>
  <c r="I25" i="43"/>
  <c r="O25" i="43" s="1"/>
  <c r="I22" i="43"/>
  <c r="O22" i="43" s="1"/>
  <c r="I15" i="43"/>
  <c r="O15" i="43" s="1"/>
  <c r="O26" i="43"/>
  <c r="I23" i="47"/>
  <c r="O23" i="47" s="1"/>
  <c r="I17" i="47"/>
  <c r="O17" i="47" s="1"/>
  <c r="I18" i="47"/>
  <c r="O18" i="47" s="1"/>
  <c r="O26" i="47"/>
  <c r="D14" i="50"/>
  <c r="I22" i="47"/>
  <c r="O22" i="47" s="1"/>
  <c r="I16" i="47"/>
  <c r="O16" i="47" s="1"/>
  <c r="I25" i="47"/>
  <c r="O25" i="47" s="1"/>
  <c r="I15" i="47"/>
  <c r="O15" i="47" s="1"/>
  <c r="I24" i="47"/>
  <c r="O24" i="47" s="1"/>
  <c r="I25" i="44"/>
  <c r="O25" i="44" s="1"/>
  <c r="I15" i="44"/>
  <c r="O15" i="44" s="1"/>
  <c r="I22" i="44"/>
  <c r="O22" i="44" s="1"/>
  <c r="E14" i="46"/>
  <c r="I16" i="44"/>
  <c r="O16" i="44" s="1"/>
  <c r="I24" i="44"/>
  <c r="O24" i="44" s="1"/>
  <c r="I18" i="44"/>
  <c r="O18" i="44" s="1"/>
  <c r="O26" i="44"/>
  <c r="I23" i="44"/>
  <c r="O23" i="44" s="1"/>
  <c r="I17" i="44"/>
  <c r="O17" i="44" s="1"/>
  <c r="O19" i="43"/>
  <c r="I18" i="45"/>
  <c r="O18" i="45" s="1"/>
  <c r="I15" i="45"/>
  <c r="O15" i="45" s="1"/>
  <c r="I25" i="45"/>
  <c r="O25" i="45" s="1"/>
  <c r="O26" i="48"/>
  <c r="I24" i="49"/>
  <c r="O24" i="49" s="1"/>
  <c r="I17" i="48"/>
  <c r="O17" i="48" s="1"/>
  <c r="I23" i="48"/>
  <c r="O23" i="48" s="1"/>
  <c r="I15" i="49"/>
  <c r="O15" i="49" s="1"/>
  <c r="I25" i="49"/>
  <c r="O25" i="49" s="1"/>
  <c r="I22" i="48"/>
  <c r="O22" i="48" s="1"/>
  <c r="I16" i="45"/>
  <c r="O16" i="45" s="1"/>
  <c r="I22" i="45"/>
  <c r="O22" i="45" s="1"/>
  <c r="O26" i="45"/>
  <c r="I18" i="48"/>
  <c r="O18" i="48" s="1"/>
  <c r="I24" i="48"/>
  <c r="O24" i="48" s="1"/>
  <c r="I16" i="49"/>
  <c r="O16" i="49" s="1"/>
  <c r="I22" i="49"/>
  <c r="O22" i="49" s="1"/>
  <c r="I16" i="48"/>
  <c r="O16" i="48" s="1"/>
  <c r="I17" i="45"/>
  <c r="O17" i="45" s="1"/>
  <c r="I23" i="45"/>
  <c r="O23" i="45" s="1"/>
  <c r="O26" i="49"/>
  <c r="E14" i="50"/>
  <c r="I18" i="49"/>
  <c r="O18" i="49" s="1"/>
  <c r="I15" i="48"/>
  <c r="O15" i="48" s="1"/>
  <c r="I17" i="49"/>
  <c r="O17" i="49" s="1"/>
  <c r="I23" i="49"/>
  <c r="O23" i="49" s="1"/>
  <c r="AV3" i="42"/>
  <c r="X3" i="42" s="1"/>
  <c r="AV2" i="33"/>
  <c r="N58" i="42"/>
  <c r="O19" i="49" l="1"/>
  <c r="F30" i="49" s="1"/>
  <c r="O19" i="48"/>
  <c r="F30" i="48" s="1"/>
  <c r="O27" i="43"/>
  <c r="I30" i="43" s="1"/>
  <c r="O30" i="43" s="1"/>
  <c r="O27" i="45"/>
  <c r="I30" i="45" s="1"/>
  <c r="F30" i="43"/>
  <c r="L30" i="43"/>
  <c r="O19" i="47"/>
  <c r="O27" i="44"/>
  <c r="I30" i="44" s="1"/>
  <c r="O30" i="44" s="1"/>
  <c r="O27" i="48"/>
  <c r="I30" i="48" s="1"/>
  <c r="O30" i="48" s="1"/>
  <c r="O19" i="45"/>
  <c r="O19" i="44"/>
  <c r="O27" i="49"/>
  <c r="I30" i="49" s="1"/>
  <c r="O30" i="49" s="1"/>
  <c r="O27" i="47"/>
  <c r="I30" i="47" s="1"/>
  <c r="O30" i="47" s="1"/>
  <c r="E5" i="35"/>
  <c r="AV24" i="33"/>
  <c r="J14" i="33"/>
  <c r="L30" i="49" l="1"/>
  <c r="L30" i="48"/>
  <c r="I42" i="43"/>
  <c r="O42" i="43" s="1"/>
  <c r="L43" i="43"/>
  <c r="O43" i="43" s="1"/>
  <c r="I42" i="48"/>
  <c r="O42" i="48" s="1"/>
  <c r="L43" i="47"/>
  <c r="O43" i="47" s="1"/>
  <c r="F30" i="47"/>
  <c r="L30" i="47"/>
  <c r="I42" i="47"/>
  <c r="O42" i="47" s="1"/>
  <c r="I42" i="49"/>
  <c r="O42" i="49" s="1"/>
  <c r="L43" i="49"/>
  <c r="O43" i="49" s="1"/>
  <c r="L43" i="48"/>
  <c r="O43" i="48" s="1"/>
  <c r="L30" i="44"/>
  <c r="I42" i="44"/>
  <c r="O42" i="44" s="1"/>
  <c r="F30" i="44"/>
  <c r="L43" i="44"/>
  <c r="O43" i="44" s="1"/>
  <c r="I42" i="45"/>
  <c r="O42" i="45" s="1"/>
  <c r="L43" i="45"/>
  <c r="O43" i="45" s="1"/>
  <c r="L30" i="45"/>
  <c r="F30" i="45"/>
  <c r="O30" i="45" s="1"/>
  <c r="G4" i="35"/>
  <c r="O44" i="43" l="1"/>
  <c r="L46" i="43" s="1"/>
  <c r="O44" i="49"/>
  <c r="O33" i="44"/>
  <c r="D13" i="35" a="1"/>
  <c r="D13" i="35" s="1"/>
  <c r="O33" i="49"/>
  <c r="D17" i="35" a="1"/>
  <c r="D17" i="35" s="1"/>
  <c r="O33" i="48"/>
  <c r="D16" i="35" a="1"/>
  <c r="D16" i="35" s="1"/>
  <c r="O33" i="43"/>
  <c r="D12" i="35"/>
  <c r="O44" i="48"/>
  <c r="L46" i="48" s="1"/>
  <c r="O46" i="48" s="1"/>
  <c r="O49" i="48" s="1"/>
  <c r="O44" i="47"/>
  <c r="L46" i="47" s="1"/>
  <c r="O46" i="47" s="1"/>
  <c r="O49" i="47" s="1"/>
  <c r="O44" i="45"/>
  <c r="L46" i="45" s="1"/>
  <c r="O46" i="45" s="1"/>
  <c r="O49" i="45" s="1"/>
  <c r="O44" i="44"/>
  <c r="L46" i="44" s="1"/>
  <c r="O46" i="44" s="1"/>
  <c r="O49" i="44" s="1"/>
  <c r="AV28" i="33"/>
  <c r="A70" i="32"/>
  <c r="O46" i="43" l="1"/>
  <c r="O49" i="43" s="1"/>
  <c r="G12" i="35" s="1"/>
  <c r="F12" i="35"/>
  <c r="E17" i="35" a="1"/>
  <c r="E17" i="35" s="1"/>
  <c r="E12" i="35"/>
  <c r="O53" i="43"/>
  <c r="E16" i="35" a="1"/>
  <c r="E16" i="35" s="1"/>
  <c r="O53" i="48"/>
  <c r="E13" i="35" a="1"/>
  <c r="E13" i="35" s="1"/>
  <c r="O53" i="44"/>
  <c r="L46" i="49"/>
  <c r="O33" i="45"/>
  <c r="D14" i="35" a="1"/>
  <c r="D14" i="35" s="1"/>
  <c r="O33" i="47"/>
  <c r="D15" i="35" a="1"/>
  <c r="D15" i="35" s="1"/>
  <c r="G14" i="35" a="1"/>
  <c r="G14" i="35" s="1"/>
  <c r="F14" i="35" a="1"/>
  <c r="F14" i="35" s="1"/>
  <c r="G15" i="35" a="1"/>
  <c r="G15" i="35" s="1"/>
  <c r="F15" i="35" a="1"/>
  <c r="F15" i="35" s="1"/>
  <c r="G16" i="35" a="1"/>
  <c r="G16" i="35" s="1"/>
  <c r="F16" i="35" a="1"/>
  <c r="F16" i="35" s="1"/>
  <c r="G13" i="35" a="1"/>
  <c r="G13" i="35" s="1"/>
  <c r="F13" i="35" a="1"/>
  <c r="F13" i="35" s="1"/>
  <c r="A1" i="1"/>
  <c r="C8" i="35"/>
  <c r="C7" i="35"/>
  <c r="C4" i="35"/>
  <c r="C6" i="35"/>
  <c r="C5" i="35"/>
  <c r="O46" i="49" l="1"/>
  <c r="O49" i="49" s="1"/>
  <c r="G17" i="35" s="1" a="1"/>
  <c r="G17" i="35" s="1"/>
  <c r="E14" i="35" a="1"/>
  <c r="E14" i="35" s="1"/>
  <c r="O53" i="45"/>
  <c r="E15" i="35" a="1"/>
  <c r="E15" i="35" s="1"/>
  <c r="O53" i="47"/>
  <c r="O53" i="49"/>
  <c r="F17" i="35" a="1"/>
  <c r="F17" i="35" s="1"/>
  <c r="AV12" i="33"/>
  <c r="P16" i="1"/>
  <c r="P17" i="1"/>
  <c r="P18" i="1"/>
  <c r="P19" i="1"/>
  <c r="P20" i="1"/>
  <c r="P21" i="1"/>
  <c r="P22" i="1"/>
  <c r="P23" i="1"/>
  <c r="P24" i="1"/>
  <c r="P15" i="1"/>
  <c r="O16" i="1"/>
  <c r="O17" i="1"/>
  <c r="O18" i="1"/>
  <c r="O19" i="1"/>
  <c r="O20" i="1"/>
  <c r="O21" i="1"/>
  <c r="O22" i="1"/>
  <c r="O23" i="1"/>
  <c r="O24" i="1"/>
  <c r="O15" i="1"/>
  <c r="L17" i="1"/>
  <c r="L22" i="1"/>
  <c r="L21" i="1"/>
  <c r="Q20" i="1" s="1"/>
  <c r="L16" i="1"/>
  <c r="AV10" i="33"/>
  <c r="AV19" i="33"/>
  <c r="AV14" i="33"/>
  <c r="AV35" i="33"/>
  <c r="A3" i="33"/>
  <c r="A3" i="32"/>
  <c r="Q15" i="1" l="1"/>
  <c r="Q13" i="1"/>
  <c r="AV3" i="33"/>
  <c r="X3" i="33" s="1"/>
  <c r="L18" i="1"/>
  <c r="L23" i="1"/>
  <c r="L14" i="1" l="1"/>
  <c r="J44" i="42" l="1"/>
  <c r="H15" i="35"/>
  <c r="H17" i="35" l="1"/>
  <c r="H16" i="35"/>
  <c r="J8" i="33" l="1"/>
  <c r="H13" i="35" l="1"/>
  <c r="H12" i="35"/>
  <c r="H14"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<sst xmlns="http://schemas.openxmlformats.org/spreadsheetml/2006/main" count="1710" uniqueCount="389">
  <si>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</si>
  <si>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</si>
  <si>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</si>
  <si>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</si>
  <si>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</si>
  <si>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</si>
  <si>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</si>
  <si>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</si>
  <si>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企画・営業</t>
    <rPh sb="0" eb="2">
      <t>キカク</t>
    </rPh>
    <rPh sb="3" eb="5">
      <t>エイギョウ</t>
    </rPh>
    <phoneticPr fontId="1"/>
  </si>
  <si>
    <t>仕入</t>
    <rPh sb="0" eb="2">
      <t>シイ</t>
    </rPh>
    <phoneticPr fontId="1"/>
  </si>
  <si>
    <t>見積・契約</t>
    <rPh sb="0" eb="2">
      <t>ミツ</t>
    </rPh>
    <rPh sb="3" eb="5">
      <t>ケイヤク</t>
    </rPh>
    <phoneticPr fontId="1"/>
  </si>
  <si>
    <t>販売・納品</t>
    <rPh sb="0" eb="2">
      <t>ハンバイ</t>
    </rPh>
    <rPh sb="3" eb="5">
      <t>ノウヒン</t>
    </rPh>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</si>
  <si>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</si>
  <si>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</si>
  <si>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</si>
  <si>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</si>
  <si>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</si>
  <si>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</si>
  <si>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</si>
  <si>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</si>
  <si>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</si>
  <si>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</si>
  <si>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</si>
  <si>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</si>
  <si>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</si>
  <si>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</si>
  <si>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</si>
  <si>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</si>
  <si>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</si>
  <si>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</si>
  <si>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</si>
  <si>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</si>
  <si>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</si>
  <si>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</si>
  <si>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</si>
  <si>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</si>
  <si>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</si>
  <si>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</si>
  <si>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</si>
  <si>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</si>
  <si>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</si>
  <si>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</si>
  <si>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</si>
  <si>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</si>
  <si>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</si>
  <si>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</si>
  <si>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</si>
  <si>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</si>
  <si>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</si>
  <si>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</si>
  <si>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</si>
  <si>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</si>
  <si>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</si>
  <si>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</si>
  <si>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</si>
  <si>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</si>
  <si>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</si>
  <si>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</si>
  <si>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</si>
  <si>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</si>
  <si>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</si>
  <si>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</si>
  <si>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</si>
  <si>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</si>
  <si>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</si>
  <si>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</si>
  <si>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</si>
  <si>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</si>
  <si>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</si>
  <si>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</si>
  <si>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</si>
  <si>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</si>
  <si>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</si>
  <si>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</si>
  <si>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</si>
  <si>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</si>
  <si>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</si>
  <si>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</si>
  <si>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</si>
  <si>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</si>
  <si>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</si>
  <si>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</si>
  <si>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</si>
  <si>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</si>
  <si>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</si>
  <si>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</si>
  <si>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</si>
  <si>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</si>
  <si>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</si>
  <si>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</si>
  <si>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</si>
  <si>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</si>
  <si>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</si>
  <si>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</si>
  <si>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</si>
  <si>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</si>
  <si>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</si>
  <si>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</si>
  <si>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</si>
  <si>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</si>
  <si>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</si>
  <si>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</si>
  <si>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</si>
  <si>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</si>
  <si>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</si>
  <si>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</si>
  <si>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</si>
  <si>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</si>
  <si>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</si>
  <si>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</si>
  <si>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</si>
  <si>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</si>
  <si>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</si>
  <si>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</si>
  <si>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</si>
  <si>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</si>
  <si>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</si>
  <si>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</si>
  <si>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</si>
  <si>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</si>
  <si>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</si>
  <si>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</si>
  <si>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</si>
  <si>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</si>
  <si>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</si>
  <si>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</si>
  <si>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</si>
  <si>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</si>
  <si>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</si>
  <si>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</si>
  <si>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</si>
  <si>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</si>
  <si>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</si>
  <si>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</si>
  <si>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</si>
  <si>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</si>
  <si>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</si>
  <si>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</si>
  <si>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</si>
  <si>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</si>
  <si>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</si>
  <si>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</si>
  <si>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</si>
  <si>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</si>
  <si>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</si>
  <si>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</si>
  <si>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</si>
  <si>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飲食サービス業</t>
    <rPh sb="0" eb="2">
      <t>インショク</t>
    </rPh>
    <rPh sb="6" eb="7">
      <t>ギョウ</t>
    </rPh>
    <phoneticPr fontId="1"/>
  </si>
  <si>
    <t>小規模</t>
    <rPh sb="0" eb="3">
      <t>ショウキボ</t>
    </rPh>
    <phoneticPr fontId="1"/>
  </si>
  <si>
    <t>中規模</t>
    <rPh sb="0" eb="3">
      <t>チュウキボ</t>
    </rPh>
    <phoneticPr fontId="1"/>
  </si>
  <si>
    <t>大規模</t>
    <rPh sb="0" eb="3">
      <t>ダイキボ</t>
    </rPh>
    <phoneticPr fontId="1"/>
  </si>
  <si>
    <t>小売業</t>
    <rPh sb="0" eb="3">
      <t>コウリギョウ</t>
    </rPh>
    <phoneticPr fontId="1"/>
  </si>
  <si>
    <t>カテゴリ</t>
  </si>
  <si>
    <t>業務領域（共通）</t>
    <rPh sb="0" eb="2">
      <t>ギョウム</t>
    </rPh>
    <rPh sb="2" eb="4">
      <t>リョウイキ</t>
    </rPh>
    <rPh sb="5" eb="7">
      <t>キョウツウ</t>
    </rPh>
    <phoneticPr fontId="1"/>
  </si>
  <si>
    <t>業務領域（建設）</t>
    <rPh sb="0" eb="2">
      <t>ギョウム</t>
    </rPh>
    <rPh sb="2" eb="4">
      <t>リョウイキ</t>
    </rPh>
    <rPh sb="5" eb="7">
      <t>ケンセツ</t>
    </rPh>
    <phoneticPr fontId="1"/>
  </si>
  <si>
    <t>業務領域（製造）</t>
    <rPh sb="0" eb="2">
      <t>ギョウム</t>
    </rPh>
    <rPh sb="2" eb="4">
      <t>リョウイキ</t>
    </rPh>
    <rPh sb="5" eb="7">
      <t>セイゾウ</t>
    </rPh>
    <phoneticPr fontId="1"/>
  </si>
  <si>
    <t>業務領域（倉庫）</t>
    <rPh sb="0" eb="2">
      <t>ギョウム</t>
    </rPh>
    <rPh sb="2" eb="4">
      <t>リョウイキ</t>
    </rPh>
    <rPh sb="5" eb="7">
      <t>ソウコ</t>
    </rPh>
    <phoneticPr fontId="1"/>
  </si>
  <si>
    <t>自動清掃ロボット</t>
    <rPh sb="0" eb="2">
      <t>ジドウ</t>
    </rPh>
    <rPh sb="2" eb="4">
      <t>セイソウ</t>
    </rPh>
    <phoneticPr fontId="1"/>
  </si>
  <si>
    <t>共通</t>
    <rPh sb="0" eb="2">
      <t>キョウツウ</t>
    </rPh>
    <phoneticPr fontId="1"/>
  </si>
  <si>
    <t>施設管理</t>
    <rPh sb="0" eb="2">
      <t>シセツ</t>
    </rPh>
    <rPh sb="2" eb="4">
      <t>カンリ</t>
    </rPh>
    <phoneticPr fontId="1"/>
  </si>
  <si>
    <t>自動配膳ロボット</t>
    <rPh sb="0" eb="2">
      <t>ジドウ</t>
    </rPh>
    <rPh sb="2" eb="4">
      <t>ハイゼン</t>
    </rPh>
    <phoneticPr fontId="1"/>
  </si>
  <si>
    <t>建設業</t>
    <rPh sb="0" eb="3">
      <t>ケンセツギョウ</t>
    </rPh>
    <phoneticPr fontId="1"/>
  </si>
  <si>
    <t>人事・労務管理</t>
    <rPh sb="0" eb="2">
      <t>ジンジ</t>
    </rPh>
    <rPh sb="3" eb="5">
      <t>ロウム</t>
    </rPh>
    <rPh sb="5" eb="7">
      <t>カンリ</t>
    </rPh>
    <phoneticPr fontId="1"/>
  </si>
  <si>
    <t>券売機</t>
    <rPh sb="0" eb="3">
      <t>ケンバイキ</t>
    </rPh>
    <phoneticPr fontId="1"/>
  </si>
  <si>
    <t>製造業</t>
    <rPh sb="0" eb="3">
      <t>セイゾウギョウ</t>
    </rPh>
    <phoneticPr fontId="1"/>
  </si>
  <si>
    <t>財務・経理</t>
    <rPh sb="0" eb="2">
      <t>ザイム</t>
    </rPh>
    <rPh sb="3" eb="5">
      <t>ケイリ</t>
    </rPh>
    <phoneticPr fontId="1"/>
  </si>
  <si>
    <t>資材調達</t>
    <rPh sb="0" eb="2">
      <t>シザイ</t>
    </rPh>
    <rPh sb="2" eb="4">
      <t>チョウタツ</t>
    </rPh>
    <phoneticPr fontId="1"/>
  </si>
  <si>
    <t>自動精算機</t>
    <rPh sb="0" eb="2">
      <t>ジドウ</t>
    </rPh>
    <rPh sb="2" eb="5">
      <t>セイサンキ</t>
    </rPh>
    <phoneticPr fontId="1"/>
  </si>
  <si>
    <t>倉庫業</t>
    <rPh sb="0" eb="3">
      <t>ソウコギョウ</t>
    </rPh>
    <phoneticPr fontId="1"/>
  </si>
  <si>
    <t>調査・測量</t>
    <rPh sb="0" eb="2">
      <t>チョウサ</t>
    </rPh>
    <rPh sb="3" eb="5">
      <t>ソクリョウ</t>
    </rPh>
    <phoneticPr fontId="1"/>
  </si>
  <si>
    <t>加工・生産</t>
    <rPh sb="0" eb="2">
      <t>カコウ</t>
    </rPh>
    <rPh sb="3" eb="5">
      <t>セイサン</t>
    </rPh>
    <phoneticPr fontId="1"/>
  </si>
  <si>
    <t>保管・在庫管理</t>
    <rPh sb="0" eb="2">
      <t>ホカン</t>
    </rPh>
    <rPh sb="3" eb="5">
      <t>ザイコ</t>
    </rPh>
    <rPh sb="5" eb="7">
      <t>カンリ</t>
    </rPh>
    <phoneticPr fontId="1"/>
  </si>
  <si>
    <t>自動チェックイン機（設置型）</t>
    <rPh sb="0" eb="2">
      <t>ジドウ</t>
    </rPh>
    <rPh sb="8" eb="9">
      <t>キ</t>
    </rPh>
    <rPh sb="10" eb="12">
      <t>セッチ</t>
    </rPh>
    <rPh sb="12" eb="13">
      <t>ガタ</t>
    </rPh>
    <phoneticPr fontId="1"/>
  </si>
  <si>
    <t>卸売業</t>
    <rPh sb="0" eb="2">
      <t>オロシウ</t>
    </rPh>
    <rPh sb="2" eb="3">
      <t>ギョウ</t>
    </rPh>
    <phoneticPr fontId="1"/>
  </si>
  <si>
    <t>施工</t>
    <rPh sb="0" eb="2">
      <t>セコウ</t>
    </rPh>
    <phoneticPr fontId="1"/>
  </si>
  <si>
    <t>検査</t>
    <rPh sb="0" eb="2">
      <t>ケンサ</t>
    </rPh>
    <phoneticPr fontId="1"/>
  </si>
  <si>
    <t>入出庫</t>
    <rPh sb="0" eb="3">
      <t>ニュウシュッコ</t>
    </rPh>
    <phoneticPr fontId="1"/>
  </si>
  <si>
    <t>スチームコンベクションオーブン</t>
  </si>
  <si>
    <t>梱包・加工</t>
    <rPh sb="0" eb="2">
      <t>コンポウ</t>
    </rPh>
    <rPh sb="3" eb="5">
      <t>カコウ</t>
    </rPh>
    <phoneticPr fontId="1"/>
  </si>
  <si>
    <t>自動倉庫</t>
    <rPh sb="0" eb="2">
      <t>ジドウ</t>
    </rPh>
    <rPh sb="2" eb="4">
      <t>ソウコ</t>
    </rPh>
    <phoneticPr fontId="1"/>
  </si>
  <si>
    <t>宿泊業</t>
    <rPh sb="0" eb="2">
      <t>シュクハク</t>
    </rPh>
    <rPh sb="2" eb="3">
      <t>ギョウ</t>
    </rPh>
    <phoneticPr fontId="1"/>
  </si>
  <si>
    <t>引渡</t>
    <rPh sb="0" eb="1">
      <t>ヒ</t>
    </rPh>
    <rPh sb="1" eb="2">
      <t>ワタ</t>
    </rPh>
    <phoneticPr fontId="1"/>
  </si>
  <si>
    <t>出荷</t>
    <rPh sb="0" eb="2">
      <t>シュッカ</t>
    </rPh>
    <phoneticPr fontId="1"/>
  </si>
  <si>
    <t>自動検品システム</t>
    <rPh sb="0" eb="2">
      <t>ジドウ</t>
    </rPh>
    <rPh sb="2" eb="4">
      <t>ケンピン</t>
    </rPh>
    <phoneticPr fontId="1"/>
  </si>
  <si>
    <t>アフターサービス</t>
  </si>
  <si>
    <t>返品対応</t>
    <rPh sb="0" eb="2">
      <t>ヘンピン</t>
    </rPh>
    <rPh sb="2" eb="4">
      <t>タイオウ</t>
    </rPh>
    <phoneticPr fontId="1"/>
  </si>
  <si>
    <t>AGV(無人搬送車）</t>
    <rPh sb="4" eb="6">
      <t>ムジン</t>
    </rPh>
    <rPh sb="6" eb="9">
      <t>ハンソウシャ</t>
    </rPh>
    <phoneticPr fontId="1"/>
  </si>
  <si>
    <t>AMR(自律走行搬送ロボット）</t>
    <rPh sb="4" eb="6">
      <t>ジリツ</t>
    </rPh>
    <rPh sb="6" eb="8">
      <t>ソウコウ</t>
    </rPh>
    <rPh sb="8" eb="10">
      <t>ハンソウ</t>
    </rPh>
    <phoneticPr fontId="1"/>
  </si>
  <si>
    <t>固定欄</t>
    <rPh sb="0" eb="2">
      <t>コテイ</t>
    </rPh>
    <rPh sb="2" eb="3">
      <t>ラン</t>
    </rPh>
    <phoneticPr fontId="1"/>
  </si>
  <si>
    <t>入力欄</t>
    <rPh sb="0" eb="3">
      <t>ニュウリョクラン</t>
    </rPh>
    <phoneticPr fontId="1"/>
  </si>
  <si>
    <t>連動欄</t>
    <rPh sb="0" eb="2">
      <t>レンドウ</t>
    </rPh>
    <rPh sb="2" eb="3">
      <t>ラン</t>
    </rPh>
    <phoneticPr fontId="1"/>
  </si>
  <si>
    <t>審査欄</t>
    <rPh sb="0" eb="2">
      <t>シンサ</t>
    </rPh>
    <rPh sb="2" eb="3">
      <t>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</si>
  <si>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</si>
  <si>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利用が想定される中小企業</t>
    <rPh sb="0" eb="2">
      <t>リヨウ</t>
    </rPh>
    <rPh sb="3" eb="5">
      <t>ソウテイ</t>
    </rPh>
    <rPh sb="8" eb="10">
      <t>チュウショウ</t>
    </rPh>
    <rPh sb="10" eb="12">
      <t>キギョウ</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</si>
  <si>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</si>
  <si>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</si>
  <si>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</si>
  <si>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</si>
  <si>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</si>
  <si>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</si>
  <si>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</si>
  <si>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t>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</si>
  <si>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</si>
  <si>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</si>
  <si>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</si>
  <si>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</si>
  <si>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</si>
  <si>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</si>
  <si>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[時間]</t>
    <rPh sb="1" eb="3">
      <t>ジカン</t>
    </rPh>
    <phoneticPr fontId="1"/>
  </si>
  <si>
    <t>[千円]</t>
    <rPh sb="1" eb="3">
      <t>センエン</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</si>
  <si>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</si>
  <si>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</si>
  <si>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</si>
  <si>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</si>
  <si>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</si>
  <si>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</si>
  <si>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</si>
  <si>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</si>
  <si>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</si>
  <si>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[回/日]</t>
    <phoneticPr fontId="1"/>
  </si>
  <si>
    <t>項目</t>
    <rPh sb="0" eb="2">
      <t>コウモク</t>
    </rPh>
    <phoneticPr fontId="1"/>
  </si>
  <si>
    <t>単位</t>
    <rPh sb="0" eb="2">
      <t>タンイ</t>
    </rPh>
    <phoneticPr fontId="1"/>
  </si>
  <si>
    <t>想定、前提事項</t>
    <rPh sb="0" eb="2">
      <t>ソウテイ</t>
    </rPh>
    <rPh sb="3" eb="7">
      <t>ゼンテイジコウ</t>
    </rPh>
    <phoneticPr fontId="1"/>
  </si>
  <si>
    <t>採用コスト</t>
    <rPh sb="0" eb="2">
      <t>サイヨウ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</si>
  <si>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</si>
  <si>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</si>
  <si>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</si>
  <si>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</si>
  <si>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</si>
  <si>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</si>
  <si>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</si>
  <si>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</si>
  <si>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</si>
  <si>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</si>
  <si>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</si>
  <si>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</si>
  <si>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</si>
  <si>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</si>
  <si>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</si>
  <si>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</si>
  <si>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</si>
  <si>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</si>
  <si>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</si>
  <si>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</si>
  <si>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</si>
  <si>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</si>
  <si>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</si>
  <si>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x1：機器設置待ち時間</t>
    <phoneticPr fontId="1"/>
  </si>
  <si>
    <t>[秒/回]</t>
    <rPh sb="3" eb="4">
      <t>カイ</t>
    </rPh>
    <phoneticPr fontId="1"/>
  </si>
  <si>
    <t>[秒/時間]</t>
    <rPh sb="1" eb="2">
      <t>ビョウ</t>
    </rPh>
    <phoneticPr fontId="1"/>
  </si>
  <si>
    <t>x2：測量待ち時間</t>
    <rPh sb="3" eb="5">
      <t>ソクリョウ</t>
    </rPh>
    <rPh sb="5" eb="6">
      <t>マ</t>
    </rPh>
    <rPh sb="7" eb="9">
      <t>ジカン</t>
    </rPh>
    <phoneticPr fontId="1"/>
  </si>
  <si>
    <t>x3：機器撤収待ち時間</t>
    <phoneticPr fontId="1"/>
  </si>
  <si>
    <t>x4：担当者1名の現場同行・作業時間</t>
    <rPh sb="3" eb="6">
      <t>タントウシャ</t>
    </rPh>
    <rPh sb="7" eb="8">
      <t>メイ</t>
    </rPh>
    <rPh sb="9" eb="11">
      <t>ゲンバ</t>
    </rPh>
    <rPh sb="11" eb="13">
      <t>ドウコウ</t>
    </rPh>
    <rPh sb="14" eb="16">
      <t>サギョウ</t>
    </rPh>
    <rPh sb="16" eb="18">
      <t>ジカン</t>
    </rPh>
    <phoneticPr fontId="1"/>
  </si>
  <si>
    <t>[チーム]</t>
    <phoneticPr fontId="1"/>
  </si>
  <si>
    <t>（=x1+x2+x3+x4）</t>
    <phoneticPr fontId="1"/>
  </si>
  <si>
    <t>y1：機器設置準備時間(導入前との差分)</t>
    <rPh sb="3" eb="5">
      <t>キキ</t>
    </rPh>
    <rPh sb="5" eb="7">
      <t>セッチ</t>
    </rPh>
    <rPh sb="7" eb="9">
      <t>ジュンビ</t>
    </rPh>
    <rPh sb="9" eb="11">
      <t>ジカン</t>
    </rPh>
    <rPh sb="12" eb="14">
      <t>ドウニュウ</t>
    </rPh>
    <rPh sb="14" eb="15">
      <t>マエ</t>
    </rPh>
    <rPh sb="17" eb="19">
      <t>サブン</t>
    </rPh>
    <phoneticPr fontId="1"/>
  </si>
  <si>
    <t>y2：機器設置時間</t>
    <rPh sb="3" eb="5">
      <t>キキ</t>
    </rPh>
    <rPh sb="5" eb="7">
      <t>セッチ</t>
    </rPh>
    <rPh sb="7" eb="9">
      <t>ジカン</t>
    </rPh>
    <phoneticPr fontId="1"/>
  </si>
  <si>
    <t>y3：測量時間</t>
    <rPh sb="3" eb="5">
      <t>ソクリョウ</t>
    </rPh>
    <rPh sb="5" eb="7">
      <t>ジカン</t>
    </rPh>
    <phoneticPr fontId="1"/>
  </si>
  <si>
    <t>y4：機器撤収作業時間</t>
    <phoneticPr fontId="1"/>
  </si>
  <si>
    <t>y5：遠隔操作での機器の向きあわせ</t>
    <phoneticPr fontId="1"/>
  </si>
  <si>
    <t>（=y1+y2+y3+y4）</t>
    <phoneticPr fontId="1"/>
  </si>
  <si>
    <t>（</t>
    <phoneticPr fontId="1"/>
  </si>
  <si>
    <t>I：機器導入に係る初期費用</t>
    <rPh sb="2" eb="4">
      <t>キキ</t>
    </rPh>
    <rPh sb="4" eb="6">
      <t>ドウニュウ</t>
    </rPh>
    <rPh sb="7" eb="8">
      <t>カカ</t>
    </rPh>
    <rPh sb="9" eb="11">
      <t>ショキ</t>
    </rPh>
    <rPh sb="11" eb="13">
      <t>ヒヨウ</t>
    </rPh>
    <phoneticPr fontId="1"/>
  </si>
  <si>
    <t>[千円/時]</t>
    <rPh sb="1" eb="2">
      <t>セン</t>
    </rPh>
    <rPh sb="2" eb="3">
      <t>エン</t>
    </rPh>
    <rPh sb="4" eb="5">
      <t>ジ</t>
    </rPh>
    <phoneticPr fontId="1"/>
  </si>
  <si>
    <t>[人/年]</t>
  </si>
  <si>
    <t>値</t>
    <rPh sb="0" eb="1">
      <t>アタイ</t>
    </rPh>
    <phoneticPr fontId="1"/>
  </si>
  <si>
    <t>a</t>
  </si>
  <si>
    <t>従業員単価</t>
    <rPh sb="0" eb="3">
      <t>ジュウギョウイン</t>
    </rPh>
    <rPh sb="3" eb="5">
      <t>タンカ</t>
    </rPh>
    <phoneticPr fontId="1"/>
  </si>
  <si>
    <t>千円/時</t>
    <rPh sb="0" eb="1">
      <t>セン</t>
    </rPh>
    <rPh sb="1" eb="2">
      <t>エン</t>
    </rPh>
    <rPh sb="3" eb="4">
      <t>ジ</t>
    </rPh>
    <phoneticPr fontId="1"/>
  </si>
  <si>
    <t>賃金構造基本統計調査（2020)より</t>
    <rPh sb="0" eb="10">
      <t>チンギンコウゾウキホントウケイチョウサ</t>
    </rPh>
    <phoneticPr fontId="1"/>
  </si>
  <si>
    <t>b</t>
  </si>
  <si>
    <t>千円/年</t>
    <rPh sb="0" eb="1">
      <t>セン</t>
    </rPh>
    <rPh sb="1" eb="2">
      <t>エン</t>
    </rPh>
    <rPh sb="3" eb="4">
      <t>ネン</t>
    </rPh>
    <phoneticPr fontId="1"/>
  </si>
  <si>
    <t>1人当たり採用コストは、就職白書（2019年）より平均82.45万円</t>
    <rPh sb="1" eb="3">
      <t>ニンア</t>
    </rPh>
    <rPh sb="5" eb="7">
      <t>サイヨウ</t>
    </rPh>
    <rPh sb="25" eb="27">
      <t>ヘイキン</t>
    </rPh>
    <rPh sb="32" eb="34">
      <t>マンエン</t>
    </rPh>
    <phoneticPr fontId="1"/>
  </si>
  <si>
    <t>c</t>
    <phoneticPr fontId="1"/>
  </si>
  <si>
    <t>1事業所当たり従業員数</t>
    <phoneticPr fontId="1"/>
  </si>
  <si>
    <t>人/事業所</t>
    <phoneticPr fontId="1"/>
  </si>
  <si>
    <t>令和3年経済センサス(2021)より</t>
    <rPh sb="0" eb="2">
      <t>レイワ</t>
    </rPh>
    <rPh sb="3" eb="4">
      <t>ネン</t>
    </rPh>
    <rPh sb="4" eb="6">
      <t>ケイザイ</t>
    </rPh>
    <phoneticPr fontId="1"/>
  </si>
  <si>
    <t>d</t>
    <phoneticPr fontId="1"/>
  </si>
  <si>
    <t>1事業所当たり測量業務者数</t>
    <rPh sb="7" eb="9">
      <t>ソクリョウ</t>
    </rPh>
    <rPh sb="9" eb="13">
      <t>ギョウムシャスウ</t>
    </rPh>
    <phoneticPr fontId="1"/>
  </si>
  <si>
    <t>測量機工業会の知見より、100%が測量業務を担当すると想定</t>
    <rPh sb="17" eb="19">
      <t>ソクリョウ</t>
    </rPh>
    <rPh sb="19" eb="21">
      <t>ギョウム</t>
    </rPh>
    <rPh sb="22" eb="24">
      <t>タントウ</t>
    </rPh>
    <rPh sb="27" eb="29">
      <t>ソウテイ</t>
    </rPh>
    <phoneticPr fontId="1"/>
  </si>
  <si>
    <t>e</t>
    <phoneticPr fontId="1"/>
  </si>
  <si>
    <t>１チーム当たりの測量士の人数</t>
    <phoneticPr fontId="1"/>
  </si>
  <si>
    <t>人/チーム</t>
    <phoneticPr fontId="1"/>
  </si>
  <si>
    <t>企業HP、自治体測量設計業界の測量業務紹介資料より</t>
    <phoneticPr fontId="1"/>
  </si>
  <si>
    <t>f</t>
    <phoneticPr fontId="1"/>
  </si>
  <si>
    <t>事業所当たりのチーム数</t>
    <phoneticPr fontId="1"/>
  </si>
  <si>
    <t>チーム/事務所</t>
    <phoneticPr fontId="1"/>
  </si>
  <si>
    <t>g</t>
    <phoneticPr fontId="1"/>
  </si>
  <si>
    <t>年間営業日数</t>
    <rPh sb="0" eb="6">
      <t>ネンカンエイギョウニッスウ</t>
    </rPh>
    <phoneticPr fontId="1"/>
  </si>
  <si>
    <t>日/年</t>
    <rPh sb="0" eb="1">
      <t>ニチ</t>
    </rPh>
    <rPh sb="2" eb="3">
      <t>ネン</t>
    </rPh>
    <phoneticPr fontId="1"/>
  </si>
  <si>
    <t>測量機工業会の知見より</t>
    <phoneticPr fontId="1"/>
  </si>
  <si>
    <t>h</t>
    <phoneticPr fontId="1"/>
  </si>
  <si>
    <t>一日当たりの測量業務時間</t>
    <phoneticPr fontId="1"/>
  </si>
  <si>
    <t>h/日</t>
    <phoneticPr fontId="1"/>
  </si>
  <si>
    <t>測量機工業会の知見より</t>
    <rPh sb="0" eb="3">
      <t>ソクリョウキ</t>
    </rPh>
    <rPh sb="3" eb="6">
      <t>コウギョウカイ</t>
    </rPh>
    <rPh sb="7" eb="9">
      <t>チケン</t>
    </rPh>
    <phoneticPr fontId="1"/>
  </si>
  <si>
    <t>i</t>
    <phoneticPr fontId="1"/>
  </si>
  <si>
    <t>一日あたりの測量点数</t>
    <rPh sb="8" eb="10">
      <t>テンスウ</t>
    </rPh>
    <phoneticPr fontId="1"/>
  </si>
  <si>
    <t>箇所/日</t>
    <rPh sb="0" eb="2">
      <t>カショ</t>
    </rPh>
    <phoneticPr fontId="1"/>
  </si>
  <si>
    <t>j</t>
    <phoneticPr fontId="1"/>
  </si>
  <si>
    <t>測量点一か所あたりの測定回数</t>
    <phoneticPr fontId="1"/>
  </si>
  <si>
    <t>回/箇所</t>
    <rPh sb="2" eb="4">
      <t>カショ</t>
    </rPh>
    <phoneticPr fontId="1"/>
  </si>
  <si>
    <t>k</t>
    <phoneticPr fontId="1"/>
  </si>
  <si>
    <t>測量点一か所あたりの測量時間</t>
    <phoneticPr fontId="1"/>
  </si>
  <si>
    <t>h/箇所</t>
    <rPh sb="2" eb="4">
      <t>カショ</t>
    </rPh>
    <phoneticPr fontId="1"/>
  </si>
  <si>
    <t>測量機工業会の知見、映像資料より</t>
    <rPh sb="0" eb="3">
      <t>ソクリョウキ</t>
    </rPh>
    <rPh sb="3" eb="6">
      <t>コウギョウカイ</t>
    </rPh>
    <rPh sb="7" eb="9">
      <t>チケン</t>
    </rPh>
    <phoneticPr fontId="1"/>
  </si>
  <si>
    <t>l</t>
    <phoneticPr fontId="1"/>
  </si>
  <si>
    <t>想定導入機器台数</t>
  </si>
  <si>
    <t>台</t>
    <phoneticPr fontId="1"/>
  </si>
  <si>
    <t>チーム毎に一台を使用すると想定</t>
    <rPh sb="3" eb="4">
      <t>ゴト</t>
    </rPh>
    <rPh sb="5" eb="7">
      <t>イチダイ</t>
    </rPh>
    <rPh sb="8" eb="10">
      <t>シヨウ</t>
    </rPh>
    <rPh sb="13" eb="15">
      <t>ソウテイ</t>
    </rPh>
    <phoneticPr fontId="1"/>
  </si>
  <si>
    <t>令和3年経済センサス(2021)、令和4年建設関連業 登録業者数調査(2022)より</t>
    <rPh sb="0" eb="2">
      <t>レイワ</t>
    </rPh>
    <rPh sb="3" eb="4">
      <t>ネン</t>
    </rPh>
    <rPh sb="4" eb="6">
      <t>ケイザイ</t>
    </rPh>
    <phoneticPr fontId="1"/>
  </si>
  <si>
    <t>測量機工業会の知見より、30%が事務、70%が測量を担当すると想定</t>
    <rPh sb="16" eb="18">
      <t>ジム</t>
    </rPh>
    <rPh sb="23" eb="25">
      <t>ソクリョウ</t>
    </rPh>
    <rPh sb="26" eb="28">
      <t>タントウ</t>
    </rPh>
    <rPh sb="31" eb="33">
      <t>ソウテイ</t>
    </rPh>
    <phoneticPr fontId="1"/>
  </si>
  <si>
    <t>測量機工業会の知見より</t>
    <rPh sb="0" eb="2">
      <t>ソクリョウ</t>
    </rPh>
    <rPh sb="2" eb="3">
      <t>キ</t>
    </rPh>
    <rPh sb="3" eb="6">
      <t>コウギョウカイ</t>
    </rPh>
    <rPh sb="7" eb="9">
      <t>チケン</t>
    </rPh>
    <phoneticPr fontId="1"/>
  </si>
  <si>
    <t>省力化機能が選択肢の場合</t>
    <rPh sb="0" eb="5">
      <t>ショウリョクカキノウ</t>
    </rPh>
    <rPh sb="6" eb="9">
      <t>センタクシ</t>
    </rPh>
    <rPh sb="10" eb="12">
      <t>バアイ</t>
    </rPh>
    <phoneticPr fontId="1"/>
  </si>
  <si>
    <t>有</t>
    <rPh sb="0" eb="1">
      <t>アリ</t>
    </rPh>
    <phoneticPr fontId="1"/>
  </si>
  <si>
    <t>【建設業】</t>
    <phoneticPr fontId="1"/>
  </si>
  <si>
    <t>企画・営業</t>
  </si>
  <si>
    <t>見積・契約</t>
  </si>
  <si>
    <t>資材調達</t>
  </si>
  <si>
    <t>調査・測量</t>
  </si>
  <si>
    <t>施工</t>
  </si>
  <si>
    <t>検査</t>
  </si>
  <si>
    <t>【専門・技術サービス業】</t>
    <phoneticPr fontId="1"/>
  </si>
  <si>
    <t>専門・技術サービス業</t>
    <rPh sb="0" eb="2">
      <t>センモン</t>
    </rPh>
    <rPh sb="3" eb="5">
      <t>ギジュツ</t>
    </rPh>
    <rPh sb="9" eb="10">
      <t>ギョウ</t>
    </rPh>
    <phoneticPr fontId="1"/>
  </si>
  <si>
    <t>アフターサービス</t>
    <phoneticPr fontId="1"/>
  </si>
  <si>
    <t>引渡</t>
    <rPh sb="0" eb="2">
      <t>ヒキワタシ</t>
    </rPh>
    <phoneticPr fontId="1"/>
  </si>
  <si>
    <t>I2：設置設定費用</t>
    <rPh sb="3" eb="5">
      <t>セッチ</t>
    </rPh>
    <rPh sb="5" eb="7">
      <t>セッテイ</t>
    </rPh>
    <rPh sb="7" eb="9">
      <t>ヒヨウ</t>
    </rPh>
    <phoneticPr fontId="1"/>
  </si>
  <si>
    <t>日本測量機器工業会</t>
    <phoneticPr fontId="1"/>
  </si>
  <si>
    <t>省力化指標</t>
    <phoneticPr fontId="1"/>
  </si>
  <si>
    <t>小規模事業者（従業員数　～9人）</t>
    <rPh sb="0" eb="3">
      <t>ショウキボ</t>
    </rPh>
    <rPh sb="3" eb="6">
      <t>ジギョウシャ</t>
    </rPh>
    <rPh sb="7" eb="10">
      <t>ジュウギョウイン</t>
    </rPh>
    <rPh sb="10" eb="11">
      <t>スウ</t>
    </rPh>
    <rPh sb="14" eb="15">
      <t>ニン</t>
    </rPh>
    <phoneticPr fontId="1"/>
  </si>
  <si>
    <t>中規模事業者（従業員数　10～49人）</t>
    <rPh sb="0" eb="3">
      <t>チュウキボ</t>
    </rPh>
    <rPh sb="3" eb="6">
      <t>ジギョウシャ</t>
    </rPh>
    <rPh sb="7" eb="10">
      <t>ジュウギョウイン</t>
    </rPh>
    <rPh sb="10" eb="11">
      <t>スウ</t>
    </rPh>
    <rPh sb="17" eb="18">
      <t>ニン</t>
    </rPh>
    <phoneticPr fontId="1"/>
  </si>
  <si>
    <t>大規模事業者（従業員数　50人～）</t>
    <rPh sb="0" eb="3">
      <t>ダイキボ</t>
    </rPh>
    <rPh sb="3" eb="6">
      <t>ジギョウシャ</t>
    </rPh>
    <rPh sb="7" eb="10">
      <t>ジュウギョウイン</t>
    </rPh>
    <rPh sb="10" eb="11">
      <t>スウ</t>
    </rPh>
    <rPh sb="14" eb="15">
      <t>ニン</t>
    </rPh>
    <phoneticPr fontId="1"/>
  </si>
  <si>
    <t>中規模事業者（従業員数　10～29人）</t>
    <rPh sb="0" eb="3">
      <t>チュウキボ</t>
    </rPh>
    <rPh sb="3" eb="6">
      <t>ジギョウシャ</t>
    </rPh>
    <rPh sb="7" eb="10">
      <t>ジュウギョウイン</t>
    </rPh>
    <rPh sb="10" eb="11">
      <t>スウ</t>
    </rPh>
    <rPh sb="17" eb="18">
      <t>ニン</t>
    </rPh>
    <phoneticPr fontId="1"/>
  </si>
  <si>
    <t>大規模事業者（従業員数　30人～）</t>
    <rPh sb="0" eb="3">
      <t>ダイキボ</t>
    </rPh>
    <rPh sb="3" eb="6">
      <t>ジギョウシャ</t>
    </rPh>
    <rPh sb="7" eb="10">
      <t>ジュウギョウイン</t>
    </rPh>
    <rPh sb="10" eb="11">
      <t>スウ</t>
    </rPh>
    <rPh sb="14" eb="15">
      <t>ニン</t>
    </rPh>
    <phoneticPr fontId="1"/>
  </si>
  <si>
    <r>
      <t>[時間/日]</t>
    </r>
    <r>
      <rPr>
        <b/>
        <sz val="11"/>
        <rFont val="ＭＳ Ｐゴシック"/>
        <family val="3"/>
        <charset val="128"/>
        <scheme val="minor"/>
      </rPr>
      <t>）</t>
    </r>
    <rPh sb="1" eb="3">
      <t>ジカン</t>
    </rPh>
    <rPh sb="4" eb="5">
      <t>ニチ</t>
    </rPh>
    <phoneticPr fontId="1"/>
  </si>
  <si>
    <t>測量機（自動視準・自動追尾機能付き高機能トータルステーション）</t>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</si>
  <si>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</si>
  <si>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</si>
  <si>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</si>
  <si>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</si>
  <si>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</si>
  <si>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</si>
  <si>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</si>
  <si>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</si>
  <si>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</si>
  <si>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</si>
  <si>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</si>
  <si>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</si>
  <si>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</si>
  <si>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</si>
  <si>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</si>
  <si>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</si>
  <si>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</si>
  <si>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</si>
  <si>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</si>
  <si>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</si>
  <si>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</si>
  <si>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</si>
  <si>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</si>
  <si>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</si>
  <si>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</si>
  <si>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</si>
  <si>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</si>
  <si>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</si>
  <si>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</si>
  <si>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</si>
  <si>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</si>
  <si>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</si>
  <si>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</si>
  <si>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</si>
  <si>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</si>
  <si>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</si>
  <si>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</si>
  <si>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</si>
  <si>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</si>
  <si>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</si>
  <si>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自動追尾機能</t>
    <rPh sb="0" eb="2">
      <t>ジドウ</t>
    </rPh>
    <rPh sb="2" eb="6">
      <t>ツイビキノウ</t>
    </rPh>
    <phoneticPr fontId="1"/>
  </si>
  <si>
    <t>無（遠隔操作で機器向き合せ）</t>
    <rPh sb="0" eb="1">
      <t>ム</t>
    </rPh>
    <rPh sb="2" eb="4">
      <t>エンカク</t>
    </rPh>
    <rPh sb="4" eb="6">
      <t>ソウサ</t>
    </rPh>
    <rPh sb="7" eb="9">
      <t>キキ</t>
    </rPh>
    <rPh sb="9" eb="10">
      <t>ム</t>
    </rPh>
    <rPh sb="11" eb="12">
      <t>アワ</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</si>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</sst>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_ "/>
    <numFmt numFmtId="179" formatCode="0_);[Red]\(0\)"/>
    <numFmt numFmtId="180" formatCode="0.0_);[Red]\(0.0\)"/>
    <numFmt numFmtId="181" formatCode="#,##0.0_ "/>
    <numFmt numFmtId="182" formatCode="#,##0.0000_ "/>
    <numFmt numFmtId="183" formatCode="#,##0.00_ "/>
  </numFmts>
  <fonts count="4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b/>
      <sz val="16"/>
      <color theme="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s>
  <fills count="1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669">
    <xf numFmtId="0" fontId="0" fillId="0" borderId="0" xfId="0">
      <alignment vertical="center"/>
    </xf>
    <xf numFmtId="0" fontId="0" fillId="2" borderId="0" xfId="0" applyFill="1">
      <alignment vertical="center"/>
    </xf>
    <xf numFmtId="0" fontId="0" fillId="3" borderId="0" xfId="0" applyFill="1">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0" fillId="4" borderId="0" xfId="0" applyFill="1">
      <alignment vertical="center"/>
    </xf>
    <xf numFmtId="0" fontId="0" fillId="4" borderId="13" xfId="0" applyFill="1" applyBorder="1">
      <alignment vertical="center"/>
    </xf>
    <xf numFmtId="0" fontId="3"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0" fillId="0" borderId="3" xfId="0" applyBorder="1" applyAlignment="1">
      <alignment horizontal="left" vertical="center"/>
    </xf>
    <xf numFmtId="180" fontId="0" fillId="0" borderId="4" xfId="0" applyNumberFormat="1" applyBorder="1" applyAlignment="1">
      <alignment horizontal="center" vertical="center"/>
    </xf>
    <xf numFmtId="0" fontId="4" fillId="0" borderId="1" xfId="0" applyFont="1" applyBorder="1" applyAlignment="1">
      <alignment horizontal="left" vertical="center"/>
    </xf>
    <xf numFmtId="0" fontId="7" fillId="0" borderId="0" xfId="0" applyFont="1">
      <alignment vertical="center"/>
    </xf>
    <xf numFmtId="0" fontId="0" fillId="5" borderId="14" xfId="0" applyFill="1" applyBorder="1" applyAlignment="1">
      <alignment horizontal="center" vertical="center"/>
    </xf>
    <xf numFmtId="0" fontId="0" fillId="0" borderId="6" xfId="0" applyBorder="1" applyAlignment="1">
      <alignment horizontal="left" vertical="center"/>
    </xf>
    <xf numFmtId="179" fontId="0" fillId="0" borderId="0" xfId="0" applyNumberFormat="1">
      <alignment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9" fontId="0" fillId="0" borderId="0" xfId="0" applyNumberFormat="1" applyAlignment="1">
      <alignment horizontal="right" vertical="center"/>
    </xf>
    <xf numFmtId="0" fontId="9" fillId="0" borderId="0" xfId="0" applyFont="1" applyAlignment="1">
      <alignment horizontal="left" vertical="center"/>
    </xf>
    <xf numFmtId="0" fontId="4" fillId="6" borderId="12" xfId="0" applyFont="1" applyFill="1" applyBorder="1" applyAlignment="1">
      <alignment horizontal="left" vertical="center"/>
    </xf>
    <xf numFmtId="0" fontId="0" fillId="0" borderId="12" xfId="0" applyBorder="1">
      <alignmen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0" fillId="2" borderId="22" xfId="0" applyFill="1" applyBorder="1" applyAlignment="1">
      <alignment horizontal="left" vertical="center"/>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0" fillId="2" borderId="20"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80"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8" fillId="0" borderId="0" xfId="0" applyFont="1" applyProtection="1">
      <alignment vertical="center"/>
      <protection locked="0"/>
    </xf>
    <xf numFmtId="0" fontId="0" fillId="5" borderId="17" xfId="0" applyFill="1" applyBorder="1" applyAlignment="1">
      <alignment horizontal="left" vertical="center"/>
    </xf>
    <xf numFmtId="0" fontId="0" fillId="5" borderId="0" xfId="0" applyFill="1" applyAlignment="1">
      <alignment horizontal="left" vertical="center"/>
    </xf>
    <xf numFmtId="0" fontId="0" fillId="5" borderId="20" xfId="0" applyFill="1" applyBorder="1" applyAlignment="1">
      <alignment horizontal="left" vertical="center"/>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9" fontId="0" fillId="0" borderId="1" xfId="1" applyNumberFormat="1" applyFont="1" applyBorder="1" applyAlignment="1" applyProtection="1">
      <alignment horizontal="right" vertical="center"/>
      <protection locked="0"/>
    </xf>
    <xf numFmtId="0" fontId="0" fillId="5" borderId="54" xfId="0" applyFill="1" applyBorder="1" applyProtection="1">
      <alignment vertical="center"/>
      <protection locked="0"/>
    </xf>
    <xf numFmtId="0" fontId="0" fillId="5" borderId="55" xfId="0" applyFill="1" applyBorder="1" applyProtection="1">
      <alignment vertical="center"/>
      <protection locked="0"/>
    </xf>
    <xf numFmtId="0" fontId="0" fillId="5" borderId="55" xfId="0" applyFill="1" applyBorder="1" applyAlignment="1" applyProtection="1">
      <alignment horizontal="center"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2" fontId="0" fillId="0" borderId="56" xfId="0" applyNumberFormat="1" applyBorder="1" applyProtection="1">
      <alignment vertical="center"/>
      <protection locked="0"/>
    </xf>
    <xf numFmtId="0" fontId="0" fillId="0" borderId="57" xfId="0" applyBorder="1" applyAlignment="1" applyProtection="1">
      <alignment horizontal="center"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2" fontId="0" fillId="0" borderId="58" xfId="0" applyNumberFormat="1" applyBorder="1" applyProtection="1">
      <alignment vertical="center"/>
      <protection locked="0"/>
    </xf>
    <xf numFmtId="0" fontId="0" fillId="0" borderId="59" xfId="0" applyBorder="1" applyAlignment="1" applyProtection="1">
      <alignment horizontal="center" vertical="center"/>
      <protection locked="0"/>
    </xf>
    <xf numFmtId="0" fontId="0" fillId="0" borderId="60" xfId="0" applyBorder="1" applyProtection="1">
      <alignment vertical="center"/>
      <protection locked="0"/>
    </xf>
    <xf numFmtId="0" fontId="0" fillId="0" borderId="61" xfId="0" applyBorder="1" applyProtection="1">
      <alignment vertical="center"/>
      <protection locked="0"/>
    </xf>
    <xf numFmtId="2" fontId="0" fillId="0" borderId="60" xfId="0" applyNumberFormat="1" applyBorder="1" applyProtection="1">
      <alignment vertical="center"/>
      <protection locked="0"/>
    </xf>
    <xf numFmtId="0" fontId="0" fillId="0" borderId="61" xfId="0" applyBorder="1" applyAlignment="1" applyProtection="1">
      <alignment horizontal="center" vertical="center"/>
      <protection locked="0"/>
    </xf>
    <xf numFmtId="0" fontId="14" fillId="2" borderId="16"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3"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5" borderId="6" xfId="0" applyFill="1" applyBorder="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5" borderId="7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4" fillId="0" borderId="0" xfId="0" applyFont="1">
      <alignment vertical="center"/>
    </xf>
    <xf numFmtId="0" fontId="9" fillId="0" borderId="0" xfId="0" applyFont="1">
      <alignment vertical="center"/>
    </xf>
    <xf numFmtId="0" fontId="9" fillId="0" borderId="4" xfId="0" applyFont="1" applyBorder="1">
      <alignment vertical="center"/>
    </xf>
    <xf numFmtId="0" fontId="10" fillId="0" borderId="4" xfId="0" applyFont="1" applyBorder="1">
      <alignment vertical="center"/>
    </xf>
    <xf numFmtId="0" fontId="11" fillId="0" borderId="0" xfId="0" applyFont="1">
      <alignment vertical="center"/>
    </xf>
    <xf numFmtId="0" fontId="0" fillId="5" borderId="2" xfId="0" applyFill="1"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0" xfId="0" applyFill="1" applyAlignment="1">
      <alignment horizontal="center" vertical="center"/>
    </xf>
    <xf numFmtId="0" fontId="11" fillId="6" borderId="62" xfId="0" applyFont="1" applyFill="1" applyBorder="1">
      <alignment vertical="center"/>
    </xf>
    <xf numFmtId="0" fontId="11" fillId="6" borderId="63" xfId="0" applyFont="1" applyFill="1" applyBorder="1">
      <alignment vertical="center"/>
    </xf>
    <xf numFmtId="0" fontId="11" fillId="6" borderId="91" xfId="0" applyFont="1" applyFill="1" applyBorder="1">
      <alignment vertical="center"/>
    </xf>
    <xf numFmtId="0" fontId="11" fillId="6" borderId="51" xfId="0" applyFont="1" applyFill="1" applyBorder="1">
      <alignment vertical="center"/>
    </xf>
    <xf numFmtId="0" fontId="11" fillId="6" borderId="63" xfId="0" applyFont="1" applyFill="1" applyBorder="1" applyAlignment="1">
      <alignment vertical="center" wrapText="1"/>
    </xf>
    <xf numFmtId="0" fontId="11" fillId="6" borderId="64" xfId="0" applyFont="1" applyFill="1" applyBorder="1">
      <alignment vertical="center"/>
    </xf>
    <xf numFmtId="0" fontId="11" fillId="6" borderId="65" xfId="0" applyFont="1" applyFill="1" applyBorder="1">
      <alignment vertical="center"/>
    </xf>
    <xf numFmtId="0" fontId="11" fillId="6" borderId="66" xfId="0" applyFont="1" applyFill="1" applyBorder="1">
      <alignment vertical="center"/>
    </xf>
    <xf numFmtId="1" fontId="11" fillId="6" borderId="52" xfId="0" applyNumberFormat="1" applyFont="1" applyFill="1" applyBorder="1">
      <alignment vertical="center"/>
    </xf>
    <xf numFmtId="0" fontId="11" fillId="6" borderId="65" xfId="0" applyFont="1" applyFill="1" applyBorder="1" applyAlignment="1">
      <alignment vertical="center" wrapText="1"/>
    </xf>
    <xf numFmtId="3" fontId="11" fillId="6" borderId="52" xfId="0" applyNumberFormat="1" applyFont="1" applyFill="1" applyBorder="1">
      <alignment vertical="center"/>
    </xf>
    <xf numFmtId="0" fontId="11" fillId="6" borderId="67" xfId="0" applyFont="1" applyFill="1" applyBorder="1">
      <alignment vertical="center"/>
    </xf>
    <xf numFmtId="0" fontId="11" fillId="6" borderId="69" xfId="0" applyFont="1" applyFill="1" applyBorder="1">
      <alignment vertical="center"/>
    </xf>
    <xf numFmtId="0" fontId="11" fillId="6" borderId="68" xfId="0" applyFont="1" applyFill="1" applyBorder="1">
      <alignment vertical="center"/>
    </xf>
    <xf numFmtId="1" fontId="11" fillId="6" borderId="53" xfId="0" applyNumberFormat="1" applyFont="1" applyFill="1" applyBorder="1">
      <alignment vertical="center"/>
    </xf>
    <xf numFmtId="0" fontId="11" fillId="6" borderId="69" xfId="0" applyFont="1" applyFill="1" applyBorder="1" applyAlignment="1">
      <alignment vertical="center" wrapText="1"/>
    </xf>
    <xf numFmtId="0" fontId="10" fillId="0" borderId="0" xfId="0" applyFont="1">
      <alignment vertical="center"/>
    </xf>
    <xf numFmtId="3" fontId="11" fillId="0" borderId="52" xfId="0" applyNumberFormat="1" applyFont="1" applyBorder="1">
      <alignment vertical="center"/>
    </xf>
    <xf numFmtId="0" fontId="11" fillId="0" borderId="51" xfId="0" applyFont="1" applyBorder="1">
      <alignment vertical="center"/>
    </xf>
    <xf numFmtId="1" fontId="11" fillId="0" borderId="52" xfId="0" applyNumberFormat="1" applyFont="1" applyBorder="1">
      <alignment vertical="center"/>
    </xf>
    <xf numFmtId="1" fontId="11" fillId="0" borderId="0" xfId="0" applyNumberFormat="1" applyFont="1">
      <alignment vertical="center"/>
    </xf>
    <xf numFmtId="1" fontId="11" fillId="6" borderId="0" xfId="0" applyNumberFormat="1" applyFont="1" applyFill="1">
      <alignment vertical="center"/>
    </xf>
    <xf numFmtId="0" fontId="0" fillId="0" borderId="20" xfId="0" applyBorder="1" applyAlignment="1">
      <alignment horizontal="left" vertical="center"/>
    </xf>
    <xf numFmtId="181" fontId="11" fillId="6" borderId="52" xfId="0" applyNumberFormat="1" applyFont="1" applyFill="1" applyBorder="1">
      <alignment vertical="center"/>
    </xf>
    <xf numFmtId="183" fontId="11" fillId="6" borderId="52" xfId="0" applyNumberFormat="1" applyFont="1" applyFill="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horizontal="center" vertical="center"/>
    </xf>
    <xf numFmtId="0" fontId="11" fillId="0" borderId="9" xfId="0" applyFont="1" applyBorder="1">
      <alignment vertical="center"/>
    </xf>
    <xf numFmtId="1" fontId="11" fillId="3" borderId="0" xfId="0" applyNumberFormat="1" applyFont="1" applyFill="1" applyAlignment="1">
      <alignment horizontal="center" vertical="center"/>
    </xf>
    <xf numFmtId="3" fontId="11" fillId="3" borderId="0" xfId="0" applyNumberFormat="1" applyFont="1" applyFill="1" applyAlignment="1">
      <alignment horizontal="center" vertical="center"/>
    </xf>
    <xf numFmtId="176" fontId="11" fillId="3" borderId="0" xfId="0" applyNumberFormat="1" applyFont="1" applyFill="1" applyAlignment="1">
      <alignment horizontal="center" vertical="center"/>
    </xf>
    <xf numFmtId="177" fontId="11" fillId="3" borderId="0" xfId="0" applyNumberFormat="1" applyFont="1" applyFill="1" applyAlignment="1">
      <alignment horizontal="center" vertical="center"/>
    </xf>
    <xf numFmtId="1"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3" fontId="11" fillId="3" borderId="4" xfId="0" applyNumberFormat="1" applyFont="1" applyFill="1" applyBorder="1" applyAlignment="1">
      <alignment horizontal="center" vertical="center"/>
    </xf>
    <xf numFmtId="177" fontId="11" fillId="3" borderId="4" xfId="0" applyNumberFormat="1" applyFont="1" applyFill="1" applyBorder="1" applyAlignment="1">
      <alignment horizontal="center" vertical="center"/>
    </xf>
    <xf numFmtId="177" fontId="11" fillId="0" borderId="0" xfId="0" applyNumberFormat="1" applyFont="1" applyAlignment="1">
      <alignment horizontal="center" vertical="center"/>
    </xf>
    <xf numFmtId="1" fontId="11" fillId="4" borderId="4" xfId="0" applyNumberFormat="1" applyFont="1" applyFill="1" applyBorder="1" applyAlignment="1">
      <alignment horizontal="center" vertical="center"/>
    </xf>
    <xf numFmtId="177" fontId="11" fillId="4" borderId="4" xfId="0" applyNumberFormat="1" applyFont="1" applyFill="1" applyBorder="1" applyAlignment="1">
      <alignment horizontal="center" vertical="center"/>
    </xf>
    <xf numFmtId="177" fontId="11" fillId="4" borderId="0" xfId="0" applyNumberFormat="1" applyFont="1" applyFill="1" applyAlignment="1">
      <alignment horizontal="center" vertical="center"/>
    </xf>
    <xf numFmtId="0" fontId="11" fillId="0" borderId="0" xfId="0" applyFont="1" applyAlignment="1">
      <alignment horizontal="left" vertical="center"/>
    </xf>
    <xf numFmtId="177" fontId="11" fillId="4" borderId="13" xfId="0" applyNumberFormat="1" applyFont="1" applyFill="1" applyBorder="1" applyAlignment="1">
      <alignment horizontal="center" vertical="center"/>
    </xf>
    <xf numFmtId="0" fontId="11" fillId="4" borderId="13" xfId="0" applyFont="1" applyFill="1" applyBorder="1" applyAlignment="1">
      <alignment horizontal="center" vertical="center"/>
    </xf>
    <xf numFmtId="0" fontId="11" fillId="0" borderId="11" xfId="0" applyFont="1" applyBorder="1">
      <alignment vertical="center"/>
    </xf>
    <xf numFmtId="0" fontId="11" fillId="0" borderId="6" xfId="0" applyFont="1" applyBorder="1" applyAlignment="1">
      <alignment horizontal="center" vertical="center"/>
    </xf>
    <xf numFmtId="38" fontId="11" fillId="4" borderId="13" xfId="1" applyFont="1" applyFill="1" applyBorder="1" applyAlignment="1">
      <alignment horizontal="center" vertical="center"/>
    </xf>
    <xf numFmtId="179" fontId="11" fillId="4" borderId="13" xfId="0" applyNumberFormat="1" applyFont="1" applyFill="1" applyBorder="1" applyAlignment="1">
      <alignment horizontal="center" vertical="center"/>
    </xf>
    <xf numFmtId="179" fontId="11" fillId="4" borderId="0" xfId="0" applyNumberFormat="1" applyFont="1" applyFill="1" applyAlignment="1">
      <alignment horizontal="center" vertical="center"/>
    </xf>
    <xf numFmtId="179" fontId="11" fillId="0" borderId="0" xfId="0" applyNumberFormat="1" applyFont="1" applyAlignment="1">
      <alignment horizontal="center" vertical="center"/>
    </xf>
    <xf numFmtId="0" fontId="11" fillId="3" borderId="0" xfId="0" applyFont="1" applyFill="1" applyAlignment="1">
      <alignment horizontal="center" vertical="center"/>
    </xf>
    <xf numFmtId="176" fontId="11" fillId="4" borderId="0" xfId="0" applyNumberFormat="1" applyFont="1" applyFill="1" applyAlignment="1">
      <alignment horizontal="center" vertical="center"/>
    </xf>
    <xf numFmtId="0" fontId="11" fillId="0" borderId="4" xfId="0" applyFont="1" applyBorder="1">
      <alignment vertical="center"/>
    </xf>
    <xf numFmtId="1" fontId="11" fillId="3" borderId="4" xfId="0" applyNumberFormat="1" applyFont="1" applyFill="1" applyBorder="1" applyAlignment="1">
      <alignment horizontal="center" vertical="center"/>
    </xf>
    <xf numFmtId="176" fontId="11" fillId="4" borderId="4" xfId="0" applyNumberFormat="1" applyFont="1" applyFill="1" applyBorder="1" applyAlignment="1">
      <alignment horizontal="center" vertical="center"/>
    </xf>
    <xf numFmtId="179" fontId="11" fillId="4" borderId="4" xfId="0" applyNumberFormat="1" applyFont="1" applyFill="1" applyBorder="1" applyAlignment="1">
      <alignment horizontal="center" vertical="center"/>
    </xf>
    <xf numFmtId="176" fontId="11" fillId="0" borderId="0" xfId="0" applyNumberFormat="1" applyFont="1" applyAlignment="1">
      <alignment horizontal="center" vertical="center"/>
    </xf>
    <xf numFmtId="178" fontId="11" fillId="0" borderId="0" xfId="0" applyNumberFormat="1" applyFont="1" applyAlignment="1">
      <alignment horizontal="center" vertical="center"/>
    </xf>
    <xf numFmtId="181" fontId="11" fillId="0" borderId="52" xfId="0" applyNumberFormat="1" applyFont="1" applyBorder="1">
      <alignment vertical="center"/>
    </xf>
    <xf numFmtId="182" fontId="11" fillId="0" borderId="52" xfId="0" applyNumberFormat="1" applyFont="1" applyBorder="1">
      <alignment vertical="center"/>
    </xf>
    <xf numFmtId="0" fontId="35" fillId="0" borderId="0" xfId="0" applyFont="1" applyAlignment="1">
      <alignment horizontal="right" vertical="center"/>
    </xf>
    <xf numFmtId="0" fontId="5" fillId="0" borderId="0" xfId="0" applyFont="1">
      <alignment vertical="center"/>
    </xf>
    <xf numFmtId="177" fontId="0" fillId="4" borderId="13" xfId="0" applyNumberFormat="1" applyFill="1" applyBorder="1" applyAlignment="1">
      <alignment horizontal="center" vertical="center"/>
    </xf>
    <xf numFmtId="0" fontId="0" fillId="0" borderId="1" xfId="0" applyBorder="1">
      <alignment vertical="center"/>
    </xf>
    <xf numFmtId="0" fontId="39"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9" fillId="2" borderId="92"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1" fillId="5" borderId="92" xfId="0" applyNumberFormat="1" applyFont="1" applyFill="1" applyBorder="1">
      <alignment vertical="center"/>
    </xf>
    <xf numFmtId="38" fontId="40" fillId="0" borderId="0" xfId="0" applyNumberFormat="1" applyFont="1">
      <alignment vertical="center"/>
    </xf>
    <xf numFmtId="0" fontId="29"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20" fillId="11" borderId="1" xfId="4" applyBorder="1">
      <alignment vertical="center"/>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pplyAlignment="1">
      <alignment horizontal="center" vertical="center" wrapText="1"/>
    </xf>
    <xf numFmtId="0" fontId="20" fillId="5" borderId="93" xfId="4" applyFill="1" applyBorder="1" applyAlignment="1">
      <alignment horizontal="center" vertical="center"/>
    </xf>
    <xf numFmtId="0" fontId="20" fillId="5" borderId="0" xfId="4" applyFill="1" applyBorder="1" applyAlignment="1">
      <alignment horizontal="center" vertical="center" wrapText="1"/>
    </xf>
    <xf numFmtId="0" fontId="41" fillId="0" borderId="1" xfId="0" applyFont="1" applyBorder="1" applyAlignment="1">
      <alignment horizontal="center" vertical="center"/>
    </xf>
    <xf numFmtId="0" fontId="21" fillId="2" borderId="1" xfId="0" applyFont="1" applyFill="1" applyBorder="1" applyProtection="1">
      <alignment vertical="center"/>
      <protection locked="0"/>
    </xf>
    <xf numFmtId="38" fontId="41" fillId="12" borderId="1" xfId="1" applyFont="1" applyFill="1" applyBorder="1">
      <alignment vertical="center"/>
    </xf>
    <xf numFmtId="38" fontId="42" fillId="9" borderId="0" xfId="1" applyFont="1" applyFill="1" applyBorder="1">
      <alignment vertical="center"/>
    </xf>
    <xf numFmtId="0" fontId="41" fillId="0" borderId="0" xfId="0" applyFont="1">
      <alignment vertical="center"/>
    </xf>
    <xf numFmtId="0" fontId="41" fillId="0" borderId="51" xfId="0" applyFont="1" applyBorder="1">
      <alignment vertical="center"/>
    </xf>
    <xf numFmtId="0" fontId="41" fillId="2" borderId="51" xfId="0" applyFont="1" applyFill="1" applyBorder="1" applyProtection="1">
      <alignment vertical="center"/>
      <protection locked="0"/>
    </xf>
    <xf numFmtId="0" fontId="41" fillId="12" borderId="51" xfId="0" applyFont="1" applyFill="1" applyBorder="1" applyAlignment="1">
      <alignment horizontal="center" vertical="center"/>
    </xf>
    <xf numFmtId="0" fontId="41" fillId="12" borderId="51" xfId="0" applyFont="1" applyFill="1" applyBorder="1">
      <alignment vertical="center"/>
    </xf>
    <xf numFmtId="38" fontId="41" fillId="12" borderId="51" xfId="3" applyNumberFormat="1" applyFont="1" applyFill="1" applyBorder="1">
      <alignment vertical="center"/>
    </xf>
    <xf numFmtId="38" fontId="41" fillId="2" borderId="51" xfId="1" applyFont="1" applyFill="1" applyBorder="1" applyProtection="1">
      <alignment vertical="center"/>
      <protection locked="0"/>
    </xf>
    <xf numFmtId="0" fontId="42" fillId="9" borderId="0" xfId="0" applyFont="1" applyFill="1">
      <alignment vertical="center"/>
    </xf>
    <xf numFmtId="0" fontId="41" fillId="0" borderId="51" xfId="0" applyFont="1" applyBorder="1" applyAlignment="1">
      <alignment horizontal="center" vertical="center"/>
    </xf>
    <xf numFmtId="0" fontId="21" fillId="2" borderId="51" xfId="0" applyFont="1" applyFill="1" applyBorder="1" applyProtection="1">
      <alignment vertical="center"/>
      <protection locked="0"/>
    </xf>
    <xf numFmtId="38" fontId="41" fillId="12" borderId="51" xfId="1" applyFont="1" applyFill="1" applyBorder="1">
      <alignment vertical="center"/>
    </xf>
    <xf numFmtId="0" fontId="41" fillId="0" borderId="52" xfId="0" applyFont="1" applyBorder="1">
      <alignment vertical="center"/>
    </xf>
    <xf numFmtId="0" fontId="41" fillId="13" borderId="52" xfId="0" applyFont="1" applyFill="1" applyBorder="1">
      <alignment vertical="center"/>
    </xf>
    <xf numFmtId="0" fontId="41" fillId="12" borderId="52" xfId="0" applyFont="1" applyFill="1" applyBorder="1" applyAlignment="1">
      <alignment horizontal="center" vertical="center"/>
    </xf>
    <xf numFmtId="0" fontId="41" fillId="12" borderId="52" xfId="0" applyFont="1" applyFill="1" applyBorder="1">
      <alignment vertical="center"/>
    </xf>
    <xf numFmtId="0" fontId="41" fillId="2" borderId="52" xfId="0" applyFont="1" applyFill="1" applyBorder="1" applyProtection="1">
      <alignment vertical="center"/>
      <protection locked="0"/>
    </xf>
    <xf numFmtId="38" fontId="41" fillId="12" borderId="52" xfId="3" applyNumberFormat="1" applyFont="1" applyFill="1" applyBorder="1">
      <alignment vertical="center"/>
    </xf>
    <xf numFmtId="38" fontId="41" fillId="2" borderId="52" xfId="1" applyFont="1" applyFill="1" applyBorder="1" applyProtection="1">
      <alignment vertical="center"/>
      <protection locked="0"/>
    </xf>
    <xf numFmtId="0" fontId="41" fillId="0" borderId="52" xfId="0" applyFont="1" applyBorder="1" applyAlignment="1">
      <alignment horizontal="center" vertical="center"/>
    </xf>
    <xf numFmtId="0" fontId="21" fillId="2" borderId="52" xfId="0" applyFont="1" applyFill="1" applyBorder="1" applyProtection="1">
      <alignment vertical="center"/>
      <protection locked="0"/>
    </xf>
    <xf numFmtId="38" fontId="41" fillId="12" borderId="52" xfId="1" applyFont="1" applyFill="1" applyBorder="1">
      <alignment vertical="center"/>
    </xf>
    <xf numFmtId="0" fontId="41" fillId="0" borderId="53" xfId="0" applyFont="1" applyBorder="1" applyAlignment="1">
      <alignment horizontal="center" vertical="center"/>
    </xf>
    <xf numFmtId="0" fontId="21" fillId="2" borderId="53" xfId="0" applyFont="1" applyFill="1" applyBorder="1" applyProtection="1">
      <alignment vertical="center"/>
      <protection locked="0"/>
    </xf>
    <xf numFmtId="0" fontId="41" fillId="12" borderId="53" xfId="0" applyFont="1" applyFill="1" applyBorder="1">
      <alignment vertical="center"/>
    </xf>
    <xf numFmtId="0" fontId="41" fillId="0" borderId="53" xfId="0" applyFont="1" applyBorder="1">
      <alignment vertical="center"/>
    </xf>
    <xf numFmtId="0" fontId="41" fillId="13" borderId="53" xfId="0" applyFont="1" applyFill="1" applyBorder="1">
      <alignment vertical="center"/>
    </xf>
    <xf numFmtId="0" fontId="41" fillId="12" borderId="53" xfId="0" applyFont="1" applyFill="1" applyBorder="1" applyAlignment="1">
      <alignment horizontal="center" vertical="center"/>
    </xf>
    <xf numFmtId="0" fontId="41" fillId="2" borderId="53" xfId="0" applyFont="1" applyFill="1" applyBorder="1" applyProtection="1">
      <alignment vertical="center"/>
      <protection locked="0"/>
    </xf>
    <xf numFmtId="38" fontId="41" fillId="2" borderId="53" xfId="1" applyFont="1" applyFill="1" applyBorder="1" applyProtection="1">
      <alignment vertical="center"/>
      <protection locked="0"/>
    </xf>
    <xf numFmtId="0" fontId="41" fillId="0" borderId="6" xfId="0" applyFont="1" applyBorder="1">
      <alignment vertical="center"/>
    </xf>
    <xf numFmtId="14" fontId="41" fillId="2" borderId="51" xfId="0" applyNumberFormat="1" applyFont="1" applyFill="1" applyBorder="1" applyProtection="1">
      <alignment vertical="center"/>
      <protection locked="0"/>
    </xf>
    <xf numFmtId="0" fontId="41" fillId="0" borderId="94" xfId="0" applyFont="1" applyBorder="1">
      <alignment vertical="center"/>
    </xf>
    <xf numFmtId="0" fontId="41" fillId="13" borderId="94" xfId="0" applyFont="1" applyFill="1" applyBorder="1">
      <alignment vertical="center"/>
    </xf>
    <xf numFmtId="0" fontId="41" fillId="12" borderId="94" xfId="0" applyFont="1" applyFill="1" applyBorder="1" applyAlignment="1">
      <alignment horizontal="center" vertical="center"/>
    </xf>
    <xf numFmtId="0" fontId="41" fillId="12" borderId="94" xfId="0" applyFont="1" applyFill="1" applyBorder="1">
      <alignment vertical="center"/>
    </xf>
    <xf numFmtId="0" fontId="41" fillId="2" borderId="94" xfId="0" applyFont="1" applyFill="1" applyBorder="1" applyProtection="1">
      <alignment vertical="center"/>
      <protection locked="0"/>
    </xf>
    <xf numFmtId="38" fontId="41" fillId="12" borderId="94" xfId="3" applyNumberFormat="1" applyFont="1" applyFill="1" applyBorder="1">
      <alignment vertical="center"/>
    </xf>
    <xf numFmtId="38" fontId="41" fillId="2" borderId="94" xfId="1" applyFont="1" applyFill="1" applyBorder="1" applyProtection="1">
      <alignment vertical="center"/>
      <protection locked="0"/>
    </xf>
    <xf numFmtId="0" fontId="43" fillId="0" borderId="1" xfId="0" applyFont="1" applyBorder="1" applyProtection="1">
      <alignment vertical="center"/>
      <protection locked="0"/>
    </xf>
    <xf numFmtId="14" fontId="43" fillId="0" borderId="1" xfId="0" applyNumberFormat="1" applyFont="1" applyBorder="1" applyProtection="1">
      <alignment vertical="center"/>
      <protection locked="0"/>
    </xf>
    <xf numFmtId="0" fontId="44" fillId="0" borderId="1"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38" fontId="41" fillId="12" borderId="53" xfId="3" applyNumberFormat="1" applyFont="1" applyFill="1" applyBorder="1">
      <alignment vertical="center"/>
    </xf>
    <xf numFmtId="0" fontId="41" fillId="0" borderId="95" xfId="0" applyFont="1" applyBorder="1">
      <alignment vertical="center"/>
    </xf>
    <xf numFmtId="0" fontId="41" fillId="2" borderId="95" xfId="0" applyFont="1" applyFill="1" applyBorder="1" applyProtection="1">
      <alignment vertical="center"/>
      <protection locked="0"/>
    </xf>
    <xf numFmtId="0" fontId="41" fillId="12" borderId="95" xfId="0" applyFont="1" applyFill="1" applyBorder="1" applyAlignment="1">
      <alignment horizontal="center" vertical="center"/>
    </xf>
    <xf numFmtId="0" fontId="41" fillId="12" borderId="95" xfId="0" applyFont="1" applyFill="1" applyBorder="1">
      <alignment vertical="center"/>
    </xf>
    <xf numFmtId="38" fontId="41" fillId="12" borderId="95" xfId="3" applyNumberFormat="1" applyFont="1" applyFill="1" applyBorder="1">
      <alignment vertical="center"/>
    </xf>
    <xf numFmtId="38" fontId="41" fillId="2" borderId="95" xfId="1" applyFont="1" applyFill="1" applyBorder="1" applyProtection="1">
      <alignment vertical="center"/>
      <protection locked="0"/>
    </xf>
    <xf numFmtId="179" fontId="0" fillId="2" borderId="97"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0" xfId="0" applyFill="1" applyAlignment="1">
      <alignment horizontal="left" vertical="center"/>
    </xf>
    <xf numFmtId="0" fontId="0" fillId="5" borderId="23" xfId="0" applyFill="1" applyBorder="1" applyAlignment="1">
      <alignment horizontal="lef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96"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96" xfId="0" applyFill="1" applyBorder="1" applyAlignment="1">
      <alignment horizontal="left" vertical="center" wrapText="1"/>
    </xf>
    <xf numFmtId="0" fontId="8" fillId="0" borderId="0" xfId="0" applyFont="1" applyAlignment="1">
      <alignment horizontal="center" vertical="center"/>
    </xf>
    <xf numFmtId="0" fontId="4" fillId="6" borderId="5" xfId="0" applyFont="1" applyFill="1" applyBorder="1" applyAlignment="1">
      <alignment horizontal="left" vertical="center" shrinkToFit="1"/>
    </xf>
    <xf numFmtId="0" fontId="4" fillId="6" borderId="12" xfId="0" applyFont="1" applyFill="1" applyBorder="1" applyAlignment="1">
      <alignment horizontal="left" vertical="center" shrinkToFit="1"/>
    </xf>
    <xf numFmtId="0" fontId="4" fillId="6" borderId="3" xfId="0" applyFont="1" applyFill="1" applyBorder="1" applyAlignment="1">
      <alignment horizontal="left" vertical="center" shrinkToFit="1"/>
    </xf>
    <xf numFmtId="179" fontId="0" fillId="2" borderId="24" xfId="0" applyNumberFormat="1" applyFill="1" applyBorder="1" applyAlignment="1" applyProtection="1">
      <alignment horizontal="left" vertical="center" shrinkToFit="1"/>
      <protection locked="0"/>
    </xf>
    <xf numFmtId="179" fontId="0" fillId="2" borderId="39" xfId="0" applyNumberFormat="1" applyFill="1" applyBorder="1" applyAlignment="1" applyProtection="1">
      <alignment horizontal="left" vertical="center" shrinkToFit="1"/>
      <protection locked="0"/>
    </xf>
    <xf numFmtId="179" fontId="0" fillId="2" borderId="25" xfId="0" applyNumberFormat="1" applyFill="1" applyBorder="1" applyAlignment="1" applyProtection="1">
      <alignment horizontal="left" vertical="center" shrinkToFit="1"/>
      <protection locked="0"/>
    </xf>
    <xf numFmtId="0" fontId="0" fillId="2" borderId="24"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0" borderId="18"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horizontal="left" vertical="center"/>
    </xf>
    <xf numFmtId="0" fontId="0" fillId="5" borderId="1" xfId="0" applyFill="1" applyBorder="1" applyAlignment="1">
      <alignment vertical="center" shrinkToFit="1"/>
    </xf>
    <xf numFmtId="0" fontId="0" fillId="5" borderId="2" xfId="0" applyFill="1" applyBorder="1" applyAlignment="1">
      <alignment vertical="center" shrinkToFit="1"/>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0" fillId="2" borderId="42" xfId="0"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0" fillId="5" borderId="45" xfId="0" applyFill="1" applyBorder="1">
      <alignment vertical="center"/>
    </xf>
    <xf numFmtId="0" fontId="0" fillId="5" borderId="46" xfId="0" applyFill="1" applyBorder="1">
      <alignment vertical="center"/>
    </xf>
    <xf numFmtId="0" fontId="0" fillId="5" borderId="47" xfId="0" applyFill="1" applyBorder="1">
      <alignment vertical="center"/>
    </xf>
    <xf numFmtId="0" fontId="0" fillId="0" borderId="17" xfId="0" applyBorder="1" applyAlignment="1">
      <alignment horizontal="left" vertical="center"/>
    </xf>
    <xf numFmtId="0" fontId="4" fillId="0" borderId="0" xfId="0" applyFont="1" applyAlignment="1">
      <alignment vertical="center" wrapText="1"/>
    </xf>
    <xf numFmtId="0" fontId="0" fillId="4" borderId="15" xfId="0" applyFill="1" applyBorder="1" applyAlignment="1" applyProtection="1">
      <alignment vertical="center" shrinkToFit="1"/>
      <protection locked="0"/>
    </xf>
    <xf numFmtId="0" fontId="0" fillId="4" borderId="49" xfId="0" applyFill="1" applyBorder="1" applyAlignment="1" applyProtection="1">
      <alignment vertical="center" shrinkToFit="1"/>
      <protection locked="0"/>
    </xf>
    <xf numFmtId="38" fontId="0" fillId="2" borderId="24" xfId="1" applyFont="1" applyFill="1" applyBorder="1" applyAlignment="1" applyProtection="1">
      <alignment horizontal="right" vertical="center"/>
      <protection locked="0"/>
    </xf>
    <xf numFmtId="38" fontId="0" fillId="2" borderId="39" xfId="1" applyFont="1" applyFill="1" applyBorder="1" applyAlignment="1" applyProtection="1">
      <alignment horizontal="right" vertical="center"/>
      <protection locked="0"/>
    </xf>
    <xf numFmtId="38" fontId="0" fillId="2" borderId="25" xfId="1" applyFont="1" applyFill="1" applyBorder="1" applyAlignment="1" applyProtection="1">
      <alignment horizontal="right" vertical="center"/>
      <protection locked="0"/>
    </xf>
    <xf numFmtId="0" fontId="0" fillId="5" borderId="1" xfId="0" applyFill="1" applyBorder="1">
      <alignment vertical="center"/>
    </xf>
    <xf numFmtId="0" fontId="0" fillId="5" borderId="2" xfId="0" applyFill="1" applyBorder="1">
      <alignment vertical="center"/>
    </xf>
    <xf numFmtId="179" fontId="0" fillId="2" borderId="24" xfId="0" applyNumberFormat="1" applyFill="1" applyBorder="1" applyAlignment="1" applyProtection="1">
      <alignment horizontal="left" vertical="center"/>
      <protection locked="0"/>
    </xf>
    <xf numFmtId="179" fontId="0" fillId="2" borderId="39" xfId="0" applyNumberFormat="1" applyFill="1" applyBorder="1" applyAlignment="1" applyProtection="1">
      <alignment horizontal="left" vertical="center"/>
      <protection locked="0"/>
    </xf>
    <xf numFmtId="179" fontId="0" fillId="2" borderId="25"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50" xfId="0" applyBorder="1" applyAlignment="1" applyProtection="1">
      <alignment vertical="center" shrinkToFit="1"/>
      <protection locked="0"/>
    </xf>
    <xf numFmtId="0" fontId="0" fillId="4" borderId="48" xfId="0" applyFill="1" applyBorder="1" applyAlignment="1" applyProtection="1">
      <alignment vertical="center" shrinkToFit="1"/>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29" xfId="0" applyFont="1" applyFill="1" applyBorder="1" applyAlignment="1">
      <alignment horizontal="left" vertical="center"/>
    </xf>
    <xf numFmtId="0" fontId="12" fillId="6" borderId="8"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27" xfId="0" applyFont="1" applyFill="1" applyBorder="1" applyAlignment="1">
      <alignment horizontal="left" vertic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0" xfId="0" applyFont="1" applyFill="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4" fillId="2" borderId="16" xfId="0" applyFont="1" applyFill="1" applyBorder="1" applyAlignment="1" applyProtection="1">
      <alignment vertical="top" wrapText="1"/>
      <protection locked="0"/>
    </xf>
    <xf numFmtId="0" fontId="14" fillId="2" borderId="17" xfId="0" applyFont="1" applyFill="1" applyBorder="1" applyAlignment="1" applyProtection="1">
      <alignment vertical="top"/>
      <protection locked="0"/>
    </xf>
    <xf numFmtId="0" fontId="14" fillId="2" borderId="18" xfId="0" applyFont="1" applyFill="1" applyBorder="1" applyAlignment="1" applyProtection="1">
      <alignment vertical="top"/>
      <protection locked="0"/>
    </xf>
    <xf numFmtId="0" fontId="14" fillId="2" borderId="22"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3"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37" fillId="6" borderId="5" xfId="0" applyFont="1" applyFill="1" applyBorder="1" applyAlignment="1">
      <alignment horizontal="left" vertical="center" shrinkToFit="1"/>
    </xf>
    <xf numFmtId="0" fontId="14" fillId="6" borderId="0" xfId="0" applyFont="1" applyFill="1" applyAlignment="1">
      <alignment horizontal="left"/>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7"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2" fillId="2" borderId="0" xfId="0" applyFont="1" applyFill="1" applyAlignment="1">
      <alignment vertical="center" wrapText="1"/>
    </xf>
    <xf numFmtId="0" fontId="12" fillId="2" borderId="87" xfId="0" applyFont="1" applyFill="1" applyBorder="1" applyAlignment="1" applyProtection="1">
      <alignment horizontal="left" vertical="top" wrapText="1"/>
      <protection locked="0"/>
    </xf>
    <xf numFmtId="0" fontId="12" fillId="2" borderId="86" xfId="0" applyFont="1" applyFill="1" applyBorder="1" applyAlignment="1" applyProtection="1">
      <alignment horizontal="left" vertical="top"/>
      <protection locked="0"/>
    </xf>
    <xf numFmtId="0" fontId="12" fillId="2" borderId="85" xfId="0" applyFont="1" applyFill="1" applyBorder="1" applyAlignment="1" applyProtection="1">
      <alignment horizontal="left" vertical="top"/>
      <protection locked="0"/>
    </xf>
    <xf numFmtId="0" fontId="12" fillId="2" borderId="82"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2" borderId="30"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0" borderId="4" xfId="0" applyFont="1" applyBorder="1" applyAlignment="1">
      <alignment horizontal="center" vertical="center"/>
    </xf>
    <xf numFmtId="0" fontId="12" fillId="2" borderId="24"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2" fillId="5" borderId="29" xfId="0" applyFont="1" applyFill="1" applyBorder="1" applyAlignment="1">
      <alignment horizontal="center" vertical="center"/>
    </xf>
    <xf numFmtId="0" fontId="12" fillId="5" borderId="23" xfId="0" applyFont="1" applyFill="1" applyBorder="1" applyAlignment="1">
      <alignment horizontal="center" vertical="center"/>
    </xf>
    <xf numFmtId="0" fontId="12" fillId="2" borderId="24" xfId="0" applyFont="1" applyFill="1" applyBorder="1" applyAlignment="1" applyProtection="1">
      <alignment horizontal="left" vertical="top" wrapText="1"/>
      <protection locked="0"/>
    </xf>
    <xf numFmtId="0" fontId="12" fillId="2" borderId="39"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5" borderId="27" xfId="0" applyFont="1" applyFill="1" applyBorder="1" applyAlignment="1">
      <alignment horizontal="center" vertical="center"/>
    </xf>
    <xf numFmtId="0" fontId="12" fillId="5" borderId="2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90" xfId="0" applyFont="1" applyFill="1" applyBorder="1" applyAlignment="1" applyProtection="1">
      <alignment horizontal="left" vertical="top" wrapText="1"/>
      <protection locked="0"/>
    </xf>
    <xf numFmtId="0" fontId="12" fillId="5" borderId="89" xfId="0" applyFont="1" applyFill="1" applyBorder="1" applyAlignment="1" applyProtection="1">
      <alignment horizontal="left" vertical="top" wrapText="1"/>
      <protection locked="0"/>
    </xf>
    <xf numFmtId="0" fontId="12" fillId="5" borderId="88" xfId="0" applyFont="1" applyFill="1" applyBorder="1" applyAlignment="1" applyProtection="1">
      <alignment horizontal="left" vertical="top" wrapText="1"/>
      <protection locked="0"/>
    </xf>
    <xf numFmtId="0" fontId="12" fillId="2" borderId="84" xfId="0" applyFont="1" applyFill="1" applyBorder="1" applyAlignment="1" applyProtection="1">
      <alignment horizontal="left" vertical="top" wrapText="1"/>
      <protection locked="0"/>
    </xf>
    <xf numFmtId="0" fontId="12" fillId="2" borderId="83" xfId="0" applyFont="1" applyFill="1" applyBorder="1" applyAlignment="1" applyProtection="1">
      <alignment horizontal="left" vertical="top" wrapText="1"/>
      <protection locked="0"/>
    </xf>
    <xf numFmtId="0" fontId="12" fillId="2" borderId="81" xfId="0" applyFont="1" applyFill="1" applyBorder="1" applyAlignment="1" applyProtection="1">
      <alignment horizontal="left" vertical="top" wrapText="1"/>
      <protection locked="0"/>
    </xf>
    <xf numFmtId="0" fontId="12" fillId="2" borderId="80" xfId="0" applyFont="1" applyFill="1" applyBorder="1" applyAlignment="1" applyProtection="1">
      <alignment horizontal="left" vertical="top" wrapText="1"/>
      <protection locked="0"/>
    </xf>
    <xf numFmtId="0" fontId="12" fillId="2" borderId="73" xfId="0" applyFont="1" applyFill="1" applyBorder="1" applyAlignment="1" applyProtection="1">
      <alignment horizontal="center" vertical="top" wrapText="1"/>
      <protection locked="0"/>
    </xf>
    <xf numFmtId="0" fontId="12" fillId="2" borderId="66" xfId="0" applyFont="1" applyFill="1" applyBorder="1" applyAlignment="1" applyProtection="1">
      <alignment horizontal="center" vertical="top" wrapText="1"/>
      <protection locked="0"/>
    </xf>
    <xf numFmtId="0" fontId="12" fillId="2" borderId="66" xfId="0" applyFont="1" applyFill="1" applyBorder="1" applyAlignment="1" applyProtection="1">
      <alignment horizontal="left" vertical="top"/>
      <protection locked="0"/>
    </xf>
    <xf numFmtId="0" fontId="12" fillId="2" borderId="70" xfId="0" applyFont="1" applyFill="1" applyBorder="1" applyAlignment="1" applyProtection="1">
      <alignment horizontal="left" vertical="top"/>
      <protection locked="0"/>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2" fillId="6" borderId="40" xfId="0" applyFont="1" applyFill="1" applyBorder="1" applyAlignment="1">
      <alignment horizontal="left" vertical="center"/>
    </xf>
    <xf numFmtId="0" fontId="12" fillId="6" borderId="39" xfId="0" applyFont="1" applyFill="1" applyBorder="1" applyAlignment="1">
      <alignment horizontal="left" vertical="center"/>
    </xf>
    <xf numFmtId="0" fontId="12" fillId="6" borderId="41" xfId="0" applyFont="1" applyFill="1" applyBorder="1" applyAlignment="1">
      <alignment horizontal="left" vertical="center"/>
    </xf>
    <xf numFmtId="49" fontId="14" fillId="2" borderId="16" xfId="0" applyNumberFormat="1" applyFont="1" applyFill="1" applyBorder="1" applyAlignment="1" applyProtection="1">
      <alignment horizontal="center" vertical="center"/>
      <protection locked="0"/>
    </xf>
    <xf numFmtId="49" fontId="14" fillId="2" borderId="17"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20" xfId="0" applyFont="1" applyBorder="1" applyAlignment="1">
      <alignment horizontal="center" vertical="center"/>
    </xf>
    <xf numFmtId="49" fontId="14" fillId="2" borderId="18"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2"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6" xfId="0" applyFont="1" applyFill="1" applyBorder="1" applyAlignment="1">
      <alignment horizontal="center" vertical="center"/>
    </xf>
    <xf numFmtId="0" fontId="24" fillId="2" borderId="32" xfId="0" applyFont="1" applyFill="1" applyBorder="1" applyAlignment="1" applyProtection="1">
      <alignment horizontal="left" vertical="center"/>
      <protection locked="0"/>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179" fontId="14" fillId="2" borderId="16" xfId="0" applyNumberFormat="1" applyFont="1" applyFill="1" applyBorder="1" applyAlignment="1" applyProtection="1">
      <alignment horizontal="left" vertical="center"/>
      <protection locked="0"/>
    </xf>
    <xf numFmtId="179" fontId="14" fillId="2" borderId="17" xfId="0" applyNumberFormat="1" applyFont="1" applyFill="1" applyBorder="1" applyAlignment="1" applyProtection="1">
      <alignment horizontal="left" vertical="center"/>
      <protection locked="0"/>
    </xf>
    <xf numFmtId="179" fontId="14" fillId="2" borderId="18" xfId="0" applyNumberFormat="1" applyFont="1" applyFill="1" applyBorder="1" applyAlignment="1" applyProtection="1">
      <alignment horizontal="left" vertical="center"/>
      <protection locked="0"/>
    </xf>
    <xf numFmtId="179" fontId="14" fillId="2" borderId="19" xfId="0" applyNumberFormat="1" applyFont="1" applyFill="1" applyBorder="1" applyAlignment="1" applyProtection="1">
      <alignment horizontal="left" vertical="center"/>
      <protection locked="0"/>
    </xf>
    <xf numFmtId="179" fontId="14" fillId="2" borderId="20" xfId="0" applyNumberFormat="1" applyFont="1" applyFill="1" applyBorder="1" applyAlignment="1" applyProtection="1">
      <alignment horizontal="left" vertical="center"/>
      <protection locked="0"/>
    </xf>
    <xf numFmtId="179" fontId="14" fillId="2" borderId="21" xfId="0" applyNumberFormat="1" applyFont="1" applyFill="1" applyBorder="1" applyAlignment="1" applyProtection="1">
      <alignment horizontal="left" vertical="center"/>
      <protection locked="0"/>
    </xf>
    <xf numFmtId="179" fontId="17" fillId="6" borderId="8" xfId="0" applyNumberFormat="1" applyFont="1" applyFill="1" applyBorder="1" applyAlignment="1" applyProtection="1">
      <alignment horizontal="right" vertical="center"/>
      <protection locked="0"/>
    </xf>
    <xf numFmtId="179" fontId="17" fillId="6" borderId="0" xfId="0" applyNumberFormat="1" applyFont="1" applyFill="1" applyAlignment="1" applyProtection="1">
      <alignment horizontal="right" vertical="center"/>
      <protection locked="0"/>
    </xf>
    <xf numFmtId="179" fontId="17" fillId="6" borderId="10" xfId="0" applyNumberFormat="1" applyFont="1" applyFill="1" applyBorder="1" applyAlignment="1" applyProtection="1">
      <alignment horizontal="right" vertical="center"/>
      <protection locked="0"/>
    </xf>
    <xf numFmtId="179" fontId="17" fillId="6" borderId="4" xfId="0" applyNumberFormat="1" applyFont="1" applyFill="1" applyBorder="1" applyAlignment="1" applyProtection="1">
      <alignment horizontal="right" vertical="center"/>
      <protection locked="0"/>
    </xf>
    <xf numFmtId="49" fontId="14" fillId="2" borderId="16" xfId="0" applyNumberFormat="1" applyFont="1" applyFill="1" applyBorder="1" applyAlignment="1" applyProtection="1">
      <alignment horizontal="lef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0" fontId="24" fillId="0" borderId="22" xfId="0" applyFont="1" applyBorder="1" applyAlignment="1">
      <alignment horizontal="left" vertical="center" wrapText="1"/>
    </xf>
    <xf numFmtId="0" fontId="24" fillId="0" borderId="0" xfId="0" applyFont="1" applyAlignment="1">
      <alignment horizontal="left" vertical="center" wrapText="1"/>
    </xf>
    <xf numFmtId="0" fontId="24" fillId="0" borderId="26"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0" fontId="29"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0" borderId="1" xfId="0" applyBorder="1">
      <alignment vertical="center"/>
    </xf>
    <xf numFmtId="0" fontId="0" fillId="5" borderId="3" xfId="0" applyFill="1" applyBorder="1">
      <alignment vertical="center"/>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28"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6"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wrapText="1"/>
      <protection locked="0"/>
    </xf>
    <xf numFmtId="0" fontId="14" fillId="0" borderId="19"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2" borderId="16"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179" fontId="14" fillId="6" borderId="8" xfId="0" applyNumberFormat="1" applyFont="1" applyFill="1" applyBorder="1" applyAlignment="1" applyProtection="1">
      <alignment horizontal="left" vertical="center"/>
      <protection locked="0"/>
    </xf>
    <xf numFmtId="179" fontId="14" fillId="6" borderId="0" xfId="0" applyNumberFormat="1" applyFont="1" applyFill="1" applyAlignment="1" applyProtection="1">
      <alignment horizontal="left" vertical="center"/>
      <protection locked="0"/>
    </xf>
    <xf numFmtId="179" fontId="14" fillId="6" borderId="9" xfId="0" applyNumberFormat="1" applyFont="1" applyFill="1" applyBorder="1" applyAlignment="1" applyProtection="1">
      <alignment horizontal="left" vertical="center"/>
      <protection locked="0"/>
    </xf>
    <xf numFmtId="179" fontId="14" fillId="6" borderId="10" xfId="0" applyNumberFormat="1" applyFont="1" applyFill="1" applyBorder="1" applyAlignment="1" applyProtection="1">
      <alignment horizontal="left" vertical="center"/>
      <protection locked="0"/>
    </xf>
    <xf numFmtId="179" fontId="14" fillId="6" borderId="4" xfId="0" applyNumberFormat="1" applyFont="1" applyFill="1" applyBorder="1" applyAlignment="1" applyProtection="1">
      <alignment horizontal="left" vertical="center"/>
      <protection locked="0"/>
    </xf>
    <xf numFmtId="179" fontId="14" fillId="6" borderId="11" xfId="0" applyNumberFormat="1" applyFont="1" applyFill="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9" fillId="0" borderId="0" xfId="0" applyFont="1" applyAlignment="1">
      <alignment horizontal="center" vertical="center"/>
    </xf>
    <xf numFmtId="0" fontId="0" fillId="4" borderId="0" xfId="0" applyFill="1" applyAlignment="1">
      <alignment horizontal="left"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L20" lockText="1" noThreeD="1"/>
</file>

<file path=xl/ctrlProps/ctrlProp4.xml><?xml version="1.0" encoding="utf-8"?>
<formControlPr xmlns="http://schemas.microsoft.com/office/spreadsheetml/2009/9/main" objectType="CheckBox" fmlaLink="$M$23" lockText="1" noThreeD="1"/>
</file>

<file path=xl/ctrlProps/ctrlProp5.xml><?xml version="1.0" encoding="utf-8"?>
<formControlPr xmlns="http://schemas.microsoft.com/office/spreadsheetml/2009/9/main" objectType="CheckBox" fmlaLink="$M$19" lockText="1" noThreeD="1"/>
</file>

<file path=xl/ctrlProps/ctrlProp6.xml><?xml version="1.0" encoding="utf-8"?>
<formControlPr xmlns="http://schemas.microsoft.com/office/spreadsheetml/2009/9/main" objectType="CheckBox" fmlaLink="$N$15" lockText="1" noThreeD="1"/>
</file>

<file path=xl/ctrlProps/ctrlProp7.xml><?xml version="1.0" encoding="utf-8"?>
<formControlPr xmlns="http://schemas.microsoft.com/office/spreadsheetml/2009/9/main" objectType="CheckBox" fmlaLink="$AU$86" lockText="1" noThreeD="1"/>
</file>

<file path=xl/ctrlProps/ctrlProp8.xml><?xml version="1.0" encoding="utf-8"?>
<formControlPr xmlns="http://schemas.microsoft.com/office/spreadsheetml/2009/9/main" objectType="CheckBox" fmlaLink="$AU$31" lockText="1" noThreeD="1"/>
</file>

<file path=xl/ctrlProps/ctrlProp9.xml><?xml version="1.0" encoding="utf-8"?>
<formControlPr xmlns="http://schemas.microsoft.com/office/spreadsheetml/2009/9/main" objectType="CheckBox" fmlaLink="$AU$31" lockText="1" noThreeD="1"/>
</file>

<file path=xl/ctrlProps/ctrlProp10.xml><?xml version="1.0" encoding="utf-8"?>
<formControlPr xmlns="http://schemas.microsoft.com/office/spreadsheetml/2009/9/main" objectType="CheckBox" fmlaLink="$AU$35" noThreeD="1"/>
</file>

<file path=xl/ctrlProps/ctrlProp11.xml><?xml version="1.0" encoding="utf-8"?>
<formControlPr xmlns="http://schemas.microsoft.com/office/spreadsheetml/2009/9/main" objectType="CheckBox" fmlaLink="$AU$29"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3</xdr:col>
          <xdr:colOff>38100</xdr:colOff>
          <xdr:row>17</xdr:row>
          <xdr:rowOff>28575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9525</xdr:rowOff>
        </xdr:from>
        <xdr:to>
          <xdr:col>5</xdr:col>
          <xdr:colOff>57150</xdr:colOff>
          <xdr:row>17</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28575</xdr:rowOff>
        </xdr:from>
        <xdr:to>
          <xdr:col>3</xdr:col>
          <xdr:colOff>38100</xdr:colOff>
          <xdr:row>22</xdr:row>
          <xdr:rowOff>28575</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0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47625</xdr:rowOff>
        </xdr:from>
        <xdr:to>
          <xdr:col>5</xdr:col>
          <xdr:colOff>19050</xdr:colOff>
          <xdr:row>22</xdr:row>
          <xdr:rowOff>180975</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0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9525</xdr:rowOff>
        </xdr:from>
        <xdr:to>
          <xdr:col>5</xdr:col>
          <xdr:colOff>57150</xdr:colOff>
          <xdr:row>18</xdr:row>
          <xdr:rowOff>190500</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0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9525</xdr:rowOff>
        </xdr:from>
        <xdr:to>
          <xdr:col>7</xdr:col>
          <xdr:colOff>57150</xdr:colOff>
          <xdr:row>14</xdr:row>
          <xdr:rowOff>190500</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0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86</xdr:row>
          <xdr:rowOff>9525</xdr:rowOff>
        </xdr:from>
        <xdr:to>
          <xdr:col>44</xdr:col>
          <xdr:colOff>76200</xdr:colOff>
          <xdr:row>87</xdr:row>
          <xdr:rowOff>95250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1059180</xdr:colOff>
      <xdr:row>35</xdr:row>
      <xdr:rowOff>0</xdr:rowOff>
    </xdr:from>
    <xdr:to>
      <xdr:col>69</xdr:col>
      <xdr:colOff>362222</xdr:colOff>
      <xdr:row>119</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71906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1188720</xdr:colOff>
      <xdr:row>88</xdr:row>
      <xdr:rowOff>121920</xdr:rowOff>
    </xdr:from>
    <xdr:to>
      <xdr:col>66</xdr:col>
      <xdr:colOff>175260</xdr:colOff>
      <xdr:row>99</xdr:row>
      <xdr:rowOff>20593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7270" y="1275207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1203960</xdr:colOff>
      <xdr:row>105</xdr:row>
      <xdr:rowOff>45720</xdr:rowOff>
    </xdr:from>
    <xdr:to>
      <xdr:col>66</xdr:col>
      <xdr:colOff>167640</xdr:colOff>
      <xdr:row>115</xdr:row>
      <xdr:rowOff>101888</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2510" y="1526667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133350</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5.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64"/>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21.875"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62" hidden="1" customWidth="1"/>
    <col min="13" max="16" width="9" style="62" hidden="1" customWidth="1"/>
  </cols>
  <sheetData>
    <row r="1" spans="1:17" x14ac:dyDescent="0.15">
      <c r="A1" t="str">
        <f>IF(審査結果サマリ!E4&lt;&gt;"","工業会審査管理番号：　" &amp;審査結果サマリ!C2,"")</f>
        <v/>
      </c>
      <c r="J1" s="145" t="s">
        <v>385</v>
      </c>
      <c r="L1"/>
      <c r="M1"/>
      <c r="N1"/>
      <c r="O1"/>
      <c r="P1"/>
    </row>
    <row r="3" spans="1:17" ht="24" x14ac:dyDescent="0.15">
      <c r="A3" s="318" t="s">
        <v>0</v>
      </c>
      <c r="B3" s="318"/>
      <c r="C3" s="318"/>
      <c r="D3" s="318"/>
      <c r="E3" s="318"/>
      <c r="F3" s="318"/>
      <c r="G3" s="318"/>
      <c r="H3" s="318"/>
      <c r="I3" s="318"/>
      <c r="J3" s="318"/>
      <c r="K3" s="318"/>
    </row>
    <row r="4" spans="1:17" ht="14.25" thickBot="1" x14ac:dyDescent="0.2"/>
    <row r="5" spans="1:17" ht="20.25" customHeight="1" thickBot="1" x14ac:dyDescent="0.2">
      <c r="B5" s="6" t="s">
        <v>1</v>
      </c>
      <c r="C5" s="325"/>
      <c r="D5" s="326"/>
      <c r="E5" s="326"/>
      <c r="F5" s="326"/>
      <c r="G5" s="326"/>
      <c r="H5" s="326"/>
      <c r="I5" s="327"/>
    </row>
    <row r="6" spans="1:17" ht="20.25" customHeight="1" thickBot="1" x14ac:dyDescent="0.2">
      <c r="B6" s="6" t="s">
        <v>2</v>
      </c>
      <c r="C6" s="325"/>
      <c r="D6" s="326"/>
      <c r="E6" s="326"/>
      <c r="F6" s="326"/>
      <c r="G6" s="326"/>
      <c r="H6" s="326"/>
      <c r="I6" s="327"/>
    </row>
    <row r="8" spans="1:17" ht="39.75" customHeight="1" x14ac:dyDescent="0.15">
      <c r="B8" s="342" t="s">
        <v>230</v>
      </c>
      <c r="C8" s="342"/>
      <c r="D8" s="342"/>
      <c r="E8" s="342"/>
      <c r="F8" s="342"/>
      <c r="G8" s="342"/>
      <c r="H8" s="342"/>
      <c r="I8" s="342"/>
      <c r="J8" s="342"/>
    </row>
    <row r="10" spans="1:17" ht="17.25" x14ac:dyDescent="0.15">
      <c r="B10" s="10"/>
      <c r="C10" s="18" t="s">
        <v>3</v>
      </c>
      <c r="D10" s="18"/>
      <c r="E10" s="11"/>
      <c r="F10" s="11"/>
      <c r="G10" s="11"/>
      <c r="H10" s="11"/>
      <c r="I10" s="11"/>
      <c r="J10" s="12"/>
    </row>
    <row r="11" spans="1:17" x14ac:dyDescent="0.15">
      <c r="B11" s="13"/>
      <c r="J11" s="14"/>
    </row>
    <row r="12" spans="1:17" x14ac:dyDescent="0.15">
      <c r="B12" s="13"/>
      <c r="C12" s="53" t="s">
        <v>4</v>
      </c>
      <c r="D12" s="54"/>
      <c r="E12" s="319" t="s">
        <v>334</v>
      </c>
      <c r="F12" s="320"/>
      <c r="G12" s="320"/>
      <c r="H12" s="320"/>
      <c r="I12" s="321"/>
      <c r="J12" s="14"/>
    </row>
    <row r="13" spans="1:17" x14ac:dyDescent="0.15">
      <c r="B13" s="13"/>
      <c r="C13" s="51"/>
      <c r="D13" s="11"/>
      <c r="E13" s="52"/>
      <c r="F13" s="50"/>
      <c r="G13" s="50"/>
      <c r="H13" s="50"/>
      <c r="I13" s="50"/>
      <c r="J13" s="14"/>
      <c r="Q13" s="55" t="str">
        <f>IF(L16+L21&gt;0,"","業種・業務領域のなかから、一つ以上を選択してください")</f>
        <v>業種・業務領域のなかから、一つ以上を選択してください</v>
      </c>
    </row>
    <row r="14" spans="1:17" ht="14.25" thickBot="1" x14ac:dyDescent="0.2">
      <c r="B14" s="13"/>
      <c r="C14" s="338" t="s">
        <v>5</v>
      </c>
      <c r="D14" s="339"/>
      <c r="E14" s="338" t="s">
        <v>6</v>
      </c>
      <c r="F14" s="340"/>
      <c r="G14" s="340"/>
      <c r="H14" s="340"/>
      <c r="I14" s="339"/>
      <c r="J14" s="14"/>
      <c r="L14" s="77" t="str">
        <f>L18&amp;L23</f>
        <v xml:space="preserve">                  </v>
      </c>
      <c r="M14" s="77" t="s">
        <v>7</v>
      </c>
      <c r="N14" s="77"/>
      <c r="O14" s="77"/>
      <c r="P14" s="77"/>
    </row>
    <row r="15" spans="1:17" ht="15.75" customHeight="1" x14ac:dyDescent="0.15">
      <c r="B15" s="13"/>
      <c r="C15" s="333"/>
      <c r="D15" s="328" t="s">
        <v>314</v>
      </c>
      <c r="E15" s="57"/>
      <c r="F15" s="78" t="s">
        <v>315</v>
      </c>
      <c r="G15" s="60"/>
      <c r="H15" s="341" t="s">
        <v>320</v>
      </c>
      <c r="I15" s="328"/>
      <c r="J15" s="14"/>
      <c r="L15" s="77" t="b">
        <v>0</v>
      </c>
      <c r="M15" s="77" t="b">
        <v>0</v>
      </c>
      <c r="N15" s="77" t="b">
        <v>0</v>
      </c>
      <c r="O15" s="77" t="str">
        <f>IF(M15,F15,"")</f>
        <v/>
      </c>
      <c r="P15" s="77" t="str">
        <f>IF(N15,H15,"")</f>
        <v/>
      </c>
      <c r="Q15" s="55" t="str">
        <f>IF(L15,IF(L16&gt;0,"OK","業務領域を一つ以上選択してください。"),IF(L16=0,"OK","未選択の業種の場合、業務領域は選択できません。"))</f>
        <v>OK</v>
      </c>
    </row>
    <row r="16" spans="1:17" ht="15.75" customHeight="1" x14ac:dyDescent="0.15">
      <c r="B16" s="13"/>
      <c r="C16" s="334"/>
      <c r="D16" s="329"/>
      <c r="E16" s="58"/>
      <c r="F16" s="79" t="s">
        <v>316</v>
      </c>
      <c r="G16" s="56"/>
      <c r="H16" s="308" t="s">
        <v>324</v>
      </c>
      <c r="I16" s="309"/>
      <c r="J16" s="14"/>
      <c r="L16" s="77">
        <f>COUNTIF(M15:N19,TRUE)</f>
        <v>0</v>
      </c>
      <c r="M16" s="77" t="b">
        <v>0</v>
      </c>
      <c r="N16" s="77" t="b">
        <v>0</v>
      </c>
      <c r="O16" s="77" t="str">
        <f t="shared" ref="O16:O24" si="0">IF(M16,F16,"")</f>
        <v/>
      </c>
      <c r="P16" s="77" t="str">
        <f t="shared" ref="P16:P24" si="1">IF(N16,H16,"")</f>
        <v/>
      </c>
    </row>
    <row r="17" spans="2:17" ht="15.75" customHeight="1" x14ac:dyDescent="0.15">
      <c r="B17" s="13"/>
      <c r="C17" s="334"/>
      <c r="D17" s="329"/>
      <c r="E17" s="58"/>
      <c r="F17" s="79" t="s">
        <v>317</v>
      </c>
      <c r="G17" s="56"/>
      <c r="H17" s="308" t="s">
        <v>323</v>
      </c>
      <c r="I17" s="309"/>
      <c r="J17" s="14"/>
      <c r="L17" s="77" t="str">
        <f>IF(L15,D15,"")</f>
        <v/>
      </c>
      <c r="M17" s="77" t="b">
        <v>0</v>
      </c>
      <c r="N17" s="77" t="b">
        <v>0</v>
      </c>
      <c r="O17" s="77" t="str">
        <f t="shared" si="0"/>
        <v/>
      </c>
      <c r="P17" s="77" t="str">
        <f t="shared" si="1"/>
        <v/>
      </c>
    </row>
    <row r="18" spans="2:17" ht="15.75" customHeight="1" x14ac:dyDescent="0.15">
      <c r="B18" s="13"/>
      <c r="C18" s="334"/>
      <c r="D18" s="329"/>
      <c r="E18" s="58"/>
      <c r="F18" s="9" t="s">
        <v>318</v>
      </c>
      <c r="G18" s="56"/>
      <c r="H18" s="308"/>
      <c r="I18" s="309"/>
      <c r="J18" s="14"/>
      <c r="L18" s="77" t="str">
        <f>L17&amp;O15 &amp;" "&amp;O16 &amp;" "&amp;O17 &amp;" "&amp;O18 &amp;" "&amp;O19 &amp;" "&amp;P15 &amp;" "&amp;P16 &amp;" "&amp;P17 &amp;" "&amp;P18 &amp;" "&amp;P19</f>
        <v xml:space="preserve">         </v>
      </c>
      <c r="M18" s="77" t="b">
        <v>0</v>
      </c>
      <c r="N18" s="77" t="b">
        <v>0</v>
      </c>
      <c r="O18" s="77" t="str">
        <f t="shared" si="0"/>
        <v/>
      </c>
      <c r="P18" s="77" t="str">
        <f t="shared" si="1"/>
        <v/>
      </c>
    </row>
    <row r="19" spans="2:17" ht="15.75" customHeight="1" thickBot="1" x14ac:dyDescent="0.2">
      <c r="B19" s="13"/>
      <c r="C19" s="335"/>
      <c r="D19" s="330"/>
      <c r="E19" s="59"/>
      <c r="F19" s="181" t="s">
        <v>319</v>
      </c>
      <c r="G19" s="61"/>
      <c r="H19" s="310"/>
      <c r="I19" s="311"/>
      <c r="J19" s="14"/>
      <c r="L19" s="77"/>
      <c r="M19" s="77" t="b">
        <v>0</v>
      </c>
      <c r="N19" s="77" t="b">
        <v>0</v>
      </c>
      <c r="O19" s="77" t="str">
        <f t="shared" si="0"/>
        <v/>
      </c>
      <c r="P19" s="77" t="str">
        <f t="shared" si="1"/>
        <v/>
      </c>
    </row>
    <row r="20" spans="2:17" ht="15.75" customHeight="1" x14ac:dyDescent="0.15">
      <c r="B20" s="13"/>
      <c r="C20" s="333"/>
      <c r="D20" s="328" t="s">
        <v>321</v>
      </c>
      <c r="E20" s="57"/>
      <c r="F20" s="78" t="s">
        <v>315</v>
      </c>
      <c r="G20" s="60"/>
      <c r="H20" s="336" t="s">
        <v>320</v>
      </c>
      <c r="I20" s="337"/>
      <c r="J20" s="14"/>
      <c r="L20" s="77" t="b">
        <v>0</v>
      </c>
      <c r="M20" s="77" t="b">
        <v>0</v>
      </c>
      <c r="N20" s="77" t="b">
        <v>0</v>
      </c>
      <c r="O20" s="77" t="str">
        <f t="shared" si="0"/>
        <v/>
      </c>
      <c r="P20" s="77" t="str">
        <f t="shared" si="1"/>
        <v/>
      </c>
      <c r="Q20" s="55" t="str">
        <f>IF(L20,IF(L21&gt;0,"OK","業務領域を一つ以上選択してください。"),IF(L21=0,"OK","未選択の業種の場合、業務領域は選択できません。"))</f>
        <v>OK</v>
      </c>
    </row>
    <row r="21" spans="2:17" ht="15.75" customHeight="1" x14ac:dyDescent="0.15">
      <c r="B21" s="13"/>
      <c r="C21" s="334"/>
      <c r="D21" s="329"/>
      <c r="E21" s="58"/>
      <c r="F21" s="79" t="s">
        <v>316</v>
      </c>
      <c r="G21" s="56"/>
      <c r="H21" s="308" t="s">
        <v>324</v>
      </c>
      <c r="I21" s="309"/>
      <c r="J21" s="14"/>
      <c r="L21" s="77">
        <f>COUNTIF(M20:N24,TRUE)</f>
        <v>0</v>
      </c>
      <c r="M21" s="77" t="b">
        <v>0</v>
      </c>
      <c r="N21" s="77" t="b">
        <v>0</v>
      </c>
      <c r="O21" s="77" t="str">
        <f t="shared" si="0"/>
        <v/>
      </c>
      <c r="P21" s="77" t="str">
        <f t="shared" si="1"/>
        <v/>
      </c>
    </row>
    <row r="22" spans="2:17" ht="15.75" customHeight="1" x14ac:dyDescent="0.15">
      <c r="B22" s="13"/>
      <c r="C22" s="334"/>
      <c r="D22" s="329"/>
      <c r="E22" s="58"/>
      <c r="F22" s="79" t="s">
        <v>317</v>
      </c>
      <c r="G22" s="56"/>
      <c r="H22" s="308" t="s">
        <v>184</v>
      </c>
      <c r="I22" s="309"/>
      <c r="J22" s="14"/>
      <c r="L22" s="77" t="str">
        <f>IF(L20,D20,"")</f>
        <v/>
      </c>
      <c r="M22" s="77" t="b">
        <v>0</v>
      </c>
      <c r="N22" s="77" t="b">
        <v>0</v>
      </c>
      <c r="O22" s="77" t="str">
        <f t="shared" si="0"/>
        <v/>
      </c>
      <c r="P22" s="77" t="str">
        <f t="shared" si="1"/>
        <v/>
      </c>
    </row>
    <row r="23" spans="2:17" ht="15.75" customHeight="1" x14ac:dyDescent="0.15">
      <c r="B23" s="13"/>
      <c r="C23" s="334"/>
      <c r="D23" s="329"/>
      <c r="E23" s="58"/>
      <c r="F23" s="9" t="s">
        <v>318</v>
      </c>
      <c r="G23" s="56"/>
      <c r="H23" s="308"/>
      <c r="I23" s="309"/>
      <c r="J23" s="14"/>
      <c r="L23" s="77" t="str">
        <f>L22&amp;O20 &amp;" "&amp;O21 &amp;" "&amp;O22 &amp;" "&amp;O23 &amp;" "&amp;O24 &amp;" "&amp;P20 &amp;" "&amp;P21 &amp;" "&amp;P22 &amp;" "&amp;P23 &amp;" "&amp;P24</f>
        <v xml:space="preserve">         </v>
      </c>
      <c r="M23" s="77" t="b">
        <v>0</v>
      </c>
      <c r="N23" s="77" t="b">
        <v>0</v>
      </c>
      <c r="O23" s="77" t="str">
        <f t="shared" si="0"/>
        <v/>
      </c>
      <c r="P23" s="77" t="str">
        <f t="shared" si="1"/>
        <v/>
      </c>
    </row>
    <row r="24" spans="2:17" ht="15.75" customHeight="1" thickBot="1" x14ac:dyDescent="0.2">
      <c r="B24" s="13"/>
      <c r="C24" s="335"/>
      <c r="D24" s="330"/>
      <c r="E24" s="59"/>
      <c r="F24" s="80" t="s">
        <v>319</v>
      </c>
      <c r="G24" s="61"/>
      <c r="H24" s="310"/>
      <c r="I24" s="311"/>
      <c r="J24" s="14"/>
      <c r="L24" s="77"/>
      <c r="M24" s="77" t="b">
        <v>0</v>
      </c>
      <c r="N24" s="77" t="b">
        <v>0</v>
      </c>
      <c r="O24" s="77" t="str">
        <f t="shared" si="0"/>
        <v/>
      </c>
      <c r="P24" s="77" t="str">
        <f t="shared" si="1"/>
        <v/>
      </c>
    </row>
    <row r="25" spans="2:17" x14ac:dyDescent="0.15">
      <c r="B25" s="15"/>
      <c r="C25" s="3"/>
      <c r="D25" s="3"/>
      <c r="E25" s="3"/>
      <c r="F25" s="3"/>
      <c r="G25" s="3"/>
      <c r="H25" s="5"/>
      <c r="I25" s="5"/>
      <c r="J25" s="16"/>
    </row>
    <row r="26" spans="2:17" hidden="1" x14ac:dyDescent="0.15"/>
    <row r="27" spans="2:17" ht="17.25" hidden="1" x14ac:dyDescent="0.15">
      <c r="B27" s="10"/>
      <c r="C27" s="18" t="s">
        <v>386</v>
      </c>
      <c r="D27" s="18"/>
      <c r="E27" s="11"/>
      <c r="F27" s="11"/>
      <c r="G27" s="11"/>
      <c r="H27" s="11"/>
      <c r="I27" s="11"/>
      <c r="J27" s="12"/>
    </row>
    <row r="28" spans="2:17" ht="14.25" hidden="1" thickBot="1" x14ac:dyDescent="0.2">
      <c r="B28" s="13"/>
      <c r="J28" s="14"/>
      <c r="L28"/>
    </row>
    <row r="29" spans="2:17" ht="14.25" hidden="1" thickBot="1" x14ac:dyDescent="0.2">
      <c r="B29" s="13"/>
      <c r="C29" s="312"/>
      <c r="D29" s="313"/>
      <c r="E29" s="313"/>
      <c r="F29" s="313"/>
      <c r="G29" s="313"/>
      <c r="H29" s="314"/>
      <c r="I29" s="304"/>
      <c r="J29" s="14"/>
      <c r="L29" t="str">
        <f>IF(C29&lt;&gt;"",C29,"")</f>
        <v/>
      </c>
      <c r="M29" s="31" t="str">
        <f>IF(AND(C29&lt;&gt;"",I29&lt;&gt;""),I29,"")</f>
        <v/>
      </c>
      <c r="Q29" s="55" t="str">
        <f>IF(L29&lt;&gt;"",IF(M29&lt;&gt;"","OK","「あり」または「なし」を選択してください"),"")</f>
        <v/>
      </c>
    </row>
    <row r="30" spans="2:17" ht="13.9" hidden="1" customHeight="1" thickBot="1" x14ac:dyDescent="0.2">
      <c r="B30" s="13"/>
      <c r="C30" s="315"/>
      <c r="D30" s="316"/>
      <c r="E30" s="316"/>
      <c r="F30" s="316"/>
      <c r="G30" s="316"/>
      <c r="H30" s="317"/>
      <c r="I30" s="304"/>
      <c r="J30" s="14"/>
      <c r="L30" t="str">
        <f>IF(C30&lt;&gt;"",C30,"")</f>
        <v/>
      </c>
      <c r="M30" s="31" t="str">
        <f>IF(AND(C30&lt;&gt;"",I30&lt;&gt;""),I30,"")</f>
        <v/>
      </c>
      <c r="Q30" s="55" t="str">
        <f>IF(L30&lt;&gt;"",IF(M30&lt;&gt;"","OK","「あり」または「なし」を選択してください"),"")</f>
        <v/>
      </c>
    </row>
    <row r="31" spans="2:17" ht="14.25" hidden="1" thickBot="1" x14ac:dyDescent="0.2">
      <c r="B31" s="13"/>
      <c r="C31" s="312"/>
      <c r="D31" s="313"/>
      <c r="E31" s="313"/>
      <c r="F31" s="313"/>
      <c r="G31" s="313"/>
      <c r="H31" s="314"/>
      <c r="I31" s="304"/>
      <c r="J31" s="14"/>
      <c r="L31" t="str">
        <f>IF(C31&lt;&gt;"",C31,"")</f>
        <v/>
      </c>
      <c r="M31" s="31" t="str">
        <f>IF(AND(C31&lt;&gt;"",I31&lt;&gt;""),I31,"")</f>
        <v/>
      </c>
      <c r="Q31" s="55" t="str">
        <f>IF(L31&lt;&gt;"",IF(M31&lt;&gt;"","OK","「あり」または「なし」を選択してください"),"")</f>
        <v/>
      </c>
    </row>
    <row r="32" spans="2:17" hidden="1" x14ac:dyDescent="0.15">
      <c r="B32" s="13"/>
      <c r="E32" s="48"/>
      <c r="F32" s="48"/>
      <c r="G32" s="48"/>
      <c r="H32" s="48"/>
      <c r="I32" s="9"/>
      <c r="J32" s="14"/>
    </row>
    <row r="33" spans="2:16" hidden="1" x14ac:dyDescent="0.15">
      <c r="B33" s="15"/>
      <c r="C33" s="3"/>
      <c r="D33" s="3"/>
      <c r="E33" s="3"/>
      <c r="F33" s="3"/>
      <c r="G33" s="3"/>
      <c r="H33" s="3"/>
      <c r="I33" s="3"/>
      <c r="J33" s="16"/>
    </row>
    <row r="35" spans="2:16" ht="17.25" x14ac:dyDescent="0.15">
      <c r="B35" s="10"/>
      <c r="C35" s="18" t="s">
        <v>12</v>
      </c>
      <c r="D35" s="18"/>
      <c r="E35" s="11"/>
      <c r="F35" s="11"/>
      <c r="G35" s="11"/>
      <c r="H35" s="11"/>
      <c r="I35" s="11"/>
      <c r="J35" s="12"/>
    </row>
    <row r="36" spans="2:16" ht="14.25" thickBot="1" x14ac:dyDescent="0.2">
      <c r="B36" s="13"/>
      <c r="J36" s="14"/>
      <c r="L36" t="str">
        <f>L37</f>
        <v>自動追尾機能：　【　　】　</v>
      </c>
      <c r="M36" s="10" t="s">
        <v>312</v>
      </c>
      <c r="N36" s="11"/>
      <c r="O36" s="65"/>
      <c r="P36" s="67"/>
    </row>
    <row r="37" spans="2:16" ht="14.25" thickBot="1" x14ac:dyDescent="0.2">
      <c r="B37" s="13"/>
      <c r="C37" s="331" t="s">
        <v>375</v>
      </c>
      <c r="D37" s="332"/>
      <c r="E37" s="322"/>
      <c r="F37" s="323"/>
      <c r="G37" s="323"/>
      <c r="H37" s="324"/>
      <c r="I37" s="9"/>
      <c r="J37" s="14"/>
      <c r="L37" t="str">
        <f>C37&amp;"：　【　"&amp;自動追尾機能&amp;"　】　"&amp;I37</f>
        <v>自動追尾機能：　【　　】　</v>
      </c>
      <c r="M37" s="15" t="s">
        <v>313</v>
      </c>
      <c r="N37" s="3" t="s">
        <v>376</v>
      </c>
      <c r="O37" s="73"/>
      <c r="P37" s="76"/>
    </row>
    <row r="38" spans="2:16" x14ac:dyDescent="0.15">
      <c r="B38" s="13"/>
      <c r="E38" s="48"/>
      <c r="F38" s="48"/>
      <c r="G38" s="48"/>
      <c r="H38" s="48"/>
      <c r="I38" s="9"/>
      <c r="J38" s="14"/>
    </row>
    <row r="39" spans="2:16" x14ac:dyDescent="0.15">
      <c r="B39" s="15"/>
      <c r="C39" s="3"/>
      <c r="D39" s="3"/>
      <c r="E39" s="3"/>
      <c r="F39" s="3"/>
      <c r="G39" s="3"/>
      <c r="H39" s="3"/>
      <c r="I39" s="3"/>
      <c r="J39" s="16"/>
    </row>
    <row r="40" spans="2:16" x14ac:dyDescent="0.15">
      <c r="H40" s="4"/>
      <c r="I40" s="4"/>
    </row>
    <row r="41" spans="2:16" ht="17.25" x14ac:dyDescent="0.15">
      <c r="B41" s="10"/>
      <c r="C41" s="18" t="s">
        <v>13</v>
      </c>
      <c r="D41" s="18"/>
      <c r="E41" s="11"/>
      <c r="F41" s="11"/>
      <c r="G41" s="11"/>
      <c r="H41" s="17"/>
      <c r="I41" s="17"/>
      <c r="J41" s="12"/>
    </row>
    <row r="42" spans="2:16" ht="14.25" thickBot="1" x14ac:dyDescent="0.2">
      <c r="B42" s="13"/>
      <c r="H42" s="4"/>
      <c r="I42" s="4"/>
      <c r="J42" s="14"/>
    </row>
    <row r="43" spans="2:16" ht="14.25" thickBot="1" x14ac:dyDescent="0.2">
      <c r="B43" s="13"/>
      <c r="C43" s="348" t="s">
        <v>140</v>
      </c>
      <c r="D43" s="349"/>
      <c r="E43" s="345"/>
      <c r="F43" s="346"/>
      <c r="G43" s="346"/>
      <c r="H43" s="347"/>
      <c r="I43" s="25" t="s">
        <v>14</v>
      </c>
      <c r="J43" s="14"/>
    </row>
    <row r="44" spans="2:16" ht="14.25" thickBot="1" x14ac:dyDescent="0.2">
      <c r="B44" s="13"/>
      <c r="C44" s="348" t="s">
        <v>15</v>
      </c>
      <c r="D44" s="349"/>
      <c r="E44" s="345"/>
      <c r="F44" s="346"/>
      <c r="G44" s="346"/>
      <c r="H44" s="347"/>
      <c r="I44" s="25" t="s">
        <v>14</v>
      </c>
      <c r="J44" s="14"/>
    </row>
    <row r="45" spans="2:16" x14ac:dyDescent="0.15">
      <c r="B45" s="13"/>
      <c r="E45" s="48"/>
      <c r="F45" s="48"/>
      <c r="G45" s="48"/>
      <c r="H45" s="48"/>
      <c r="I45" s="30"/>
      <c r="J45" s="14"/>
    </row>
    <row r="46" spans="2:16" x14ac:dyDescent="0.15">
      <c r="B46" s="15"/>
      <c r="C46" s="3"/>
      <c r="D46" s="3"/>
      <c r="E46" s="3"/>
      <c r="F46" s="3"/>
      <c r="G46" s="3"/>
      <c r="H46" s="26"/>
      <c r="I46" s="5"/>
      <c r="J46" s="16"/>
    </row>
    <row r="47" spans="2:16" x14ac:dyDescent="0.15">
      <c r="K47" s="22" t="s">
        <v>16</v>
      </c>
    </row>
    <row r="48" spans="2:16" s="62" customFormat="1" ht="17.25" x14ac:dyDescent="0.15">
      <c r="B48" s="63"/>
      <c r="C48" s="64" t="s">
        <v>17</v>
      </c>
      <c r="D48" s="64"/>
      <c r="E48" s="65"/>
      <c r="F48" s="65"/>
      <c r="G48" s="65"/>
      <c r="H48" s="66"/>
      <c r="I48" s="66"/>
      <c r="J48" s="67"/>
    </row>
    <row r="49" spans="2:10" s="62" customFormat="1" ht="14.25" thickBot="1" x14ac:dyDescent="0.2">
      <c r="B49" s="68"/>
      <c r="H49" s="69"/>
      <c r="I49" s="69"/>
      <c r="J49" s="70"/>
    </row>
    <row r="50" spans="2:10" s="62" customFormat="1" ht="14.25" thickBot="1" x14ac:dyDescent="0.2">
      <c r="B50" s="68"/>
      <c r="C50" s="306" t="s">
        <v>18</v>
      </c>
      <c r="D50" s="307"/>
      <c r="E50" s="350" t="s">
        <v>19</v>
      </c>
      <c r="F50" s="351"/>
      <c r="G50" s="351"/>
      <c r="H50" s="351"/>
      <c r="I50" s="352"/>
      <c r="J50" s="70"/>
    </row>
    <row r="51" spans="2:10" s="62" customFormat="1" ht="14.25" thickBot="1" x14ac:dyDescent="0.2">
      <c r="B51" s="68"/>
      <c r="C51" s="306" t="s">
        <v>20</v>
      </c>
      <c r="D51" s="307"/>
      <c r="E51" s="350" t="s">
        <v>19</v>
      </c>
      <c r="F51" s="351"/>
      <c r="G51" s="351"/>
      <c r="H51" s="351"/>
      <c r="I51" s="352"/>
      <c r="J51" s="70"/>
    </row>
    <row r="52" spans="2:10" s="62" customFormat="1" ht="14.25" thickBot="1" x14ac:dyDescent="0.2">
      <c r="B52" s="68"/>
      <c r="C52" s="306" t="s">
        <v>21</v>
      </c>
      <c r="D52" s="307"/>
      <c r="E52" s="350" t="s">
        <v>19</v>
      </c>
      <c r="F52" s="351"/>
      <c r="G52" s="351"/>
      <c r="H52" s="351"/>
      <c r="I52" s="352"/>
      <c r="J52" s="70"/>
    </row>
    <row r="53" spans="2:10" s="62" customFormat="1" ht="14.25" thickBot="1" x14ac:dyDescent="0.2">
      <c r="B53" s="68"/>
      <c r="C53" s="306" t="s">
        <v>22</v>
      </c>
      <c r="D53" s="307"/>
      <c r="E53" s="350" t="s">
        <v>19</v>
      </c>
      <c r="F53" s="351"/>
      <c r="G53" s="351"/>
      <c r="H53" s="351"/>
      <c r="I53" s="352"/>
      <c r="J53" s="70"/>
    </row>
    <row r="54" spans="2:10" s="62" customFormat="1" ht="14.25" thickBot="1" x14ac:dyDescent="0.2">
      <c r="B54" s="68"/>
      <c r="C54" s="306" t="s">
        <v>23</v>
      </c>
      <c r="D54" s="307"/>
      <c r="E54" s="350" t="s">
        <v>19</v>
      </c>
      <c r="F54" s="351"/>
      <c r="G54" s="351"/>
      <c r="H54" s="351"/>
      <c r="I54" s="352"/>
      <c r="J54" s="70"/>
    </row>
    <row r="55" spans="2:10" s="62" customFormat="1" x14ac:dyDescent="0.15">
      <c r="B55" s="68"/>
      <c r="C55" s="62" t="s">
        <v>24</v>
      </c>
      <c r="H55" s="71"/>
      <c r="I55" s="69"/>
      <c r="J55" s="70"/>
    </row>
    <row r="56" spans="2:10" s="62" customFormat="1" x14ac:dyDescent="0.15">
      <c r="B56" s="72"/>
      <c r="C56" s="73"/>
      <c r="D56" s="73"/>
      <c r="E56" s="73"/>
      <c r="F56" s="73"/>
      <c r="G56" s="73"/>
      <c r="H56" s="74"/>
      <c r="I56" s="75"/>
      <c r="J56" s="76"/>
    </row>
    <row r="57" spans="2:10" s="62" customFormat="1" x14ac:dyDescent="0.15"/>
    <row r="58" spans="2:10" s="62" customFormat="1" x14ac:dyDescent="0.15">
      <c r="C58" s="353" t="s">
        <v>25</v>
      </c>
      <c r="D58" s="355"/>
      <c r="E58" s="353"/>
      <c r="F58" s="354"/>
      <c r="G58" s="354"/>
      <c r="H58" s="354"/>
      <c r="I58" s="355"/>
    </row>
    <row r="59" spans="2:10" s="62" customFormat="1" x14ac:dyDescent="0.15">
      <c r="C59" s="356"/>
      <c r="D59" s="356"/>
      <c r="E59" s="356"/>
      <c r="F59" s="356"/>
      <c r="G59" s="356"/>
      <c r="H59" s="356"/>
      <c r="I59" s="356"/>
    </row>
    <row r="60" spans="2:10" s="62" customFormat="1" x14ac:dyDescent="0.15">
      <c r="C60" s="343" t="s">
        <v>26</v>
      </c>
      <c r="D60" s="344"/>
      <c r="E60" s="343"/>
      <c r="F60" s="357"/>
      <c r="G60" s="357"/>
      <c r="H60" s="357"/>
      <c r="I60" s="344"/>
    </row>
    <row r="61" spans="2:10" s="62" customFormat="1" x14ac:dyDescent="0.15">
      <c r="C61" s="343" t="s">
        <v>27</v>
      </c>
      <c r="D61" s="344"/>
      <c r="E61" s="343"/>
      <c r="F61" s="357"/>
      <c r="G61" s="357"/>
      <c r="H61" s="357"/>
      <c r="I61" s="344"/>
    </row>
    <row r="62" spans="2:10" s="62" customFormat="1" x14ac:dyDescent="0.15">
      <c r="C62" s="343" t="s">
        <v>28</v>
      </c>
      <c r="D62" s="344"/>
      <c r="E62" s="343"/>
      <c r="F62" s="357"/>
      <c r="G62" s="357"/>
      <c r="H62" s="357"/>
      <c r="I62" s="344"/>
    </row>
    <row r="63" spans="2:10" s="62" customFormat="1" x14ac:dyDescent="0.15">
      <c r="C63" s="343" t="s">
        <v>29</v>
      </c>
      <c r="D63" s="344"/>
      <c r="E63" s="343"/>
      <c r="F63" s="357"/>
      <c r="G63" s="357"/>
      <c r="H63" s="357"/>
      <c r="I63" s="344"/>
    </row>
    <row r="64" spans="2:10" s="62" customFormat="1" x14ac:dyDescent="0.15">
      <c r="C64" s="343" t="s">
        <v>30</v>
      </c>
      <c r="D64" s="344"/>
      <c r="E64" s="343"/>
      <c r="F64" s="357"/>
      <c r="G64" s="357"/>
      <c r="H64" s="357"/>
      <c r="I64" s="344"/>
    </row>
  </sheetData>
  <sheetProtection algorithmName="SHA-512" hashValue="4EEniWArvJVvZ7AT/m7wMIPv1dM3ev9/1MBh1XjsUeyDW/wbVUhXlL6vOkexcISCbX+7pJ7N5ftFPceK6PT9bw==" saltValue="qOMs3iTnd/QjSeKRjlFEJw==" spinCount="100000" sheet="1" objects="1" scenarios="1" formatCells="0" formatRows="0" insertRows="0" deleteRows="0"/>
  <mergeCells count="54">
    <mergeCell ref="C64:D64"/>
    <mergeCell ref="E58:I58"/>
    <mergeCell ref="E59:I59"/>
    <mergeCell ref="E60:I60"/>
    <mergeCell ref="E61:I61"/>
    <mergeCell ref="E62:I62"/>
    <mergeCell ref="E63:I63"/>
    <mergeCell ref="E64:I64"/>
    <mergeCell ref="C58:D58"/>
    <mergeCell ref="C59:D59"/>
    <mergeCell ref="C60:D60"/>
    <mergeCell ref="C61:D61"/>
    <mergeCell ref="C62:D62"/>
    <mergeCell ref="B8:J8"/>
    <mergeCell ref="C63:D63"/>
    <mergeCell ref="E43:H43"/>
    <mergeCell ref="E44:H44"/>
    <mergeCell ref="C43:D43"/>
    <mergeCell ref="C44:D44"/>
    <mergeCell ref="E50:I50"/>
    <mergeCell ref="E54:I54"/>
    <mergeCell ref="E51:I51"/>
    <mergeCell ref="E52:I52"/>
    <mergeCell ref="E53:I53"/>
    <mergeCell ref="C50:D50"/>
    <mergeCell ref="C51:D51"/>
    <mergeCell ref="H17:I17"/>
    <mergeCell ref="C52:D52"/>
    <mergeCell ref="C53:D53"/>
    <mergeCell ref="A3:K3"/>
    <mergeCell ref="E12:I12"/>
    <mergeCell ref="E37:H37"/>
    <mergeCell ref="C5:I5"/>
    <mergeCell ref="C6:I6"/>
    <mergeCell ref="D15:D19"/>
    <mergeCell ref="C37:D37"/>
    <mergeCell ref="C15:C19"/>
    <mergeCell ref="C20:C24"/>
    <mergeCell ref="D20:D24"/>
    <mergeCell ref="H20:I20"/>
    <mergeCell ref="H21:I21"/>
    <mergeCell ref="C14:D14"/>
    <mergeCell ref="E14:I14"/>
    <mergeCell ref="H15:I15"/>
    <mergeCell ref="H16:I16"/>
    <mergeCell ref="C54:D54"/>
    <mergeCell ref="H18:I18"/>
    <mergeCell ref="H19:I19"/>
    <mergeCell ref="H22:I22"/>
    <mergeCell ref="H23:I23"/>
    <mergeCell ref="H24:I24"/>
    <mergeCell ref="C29:H29"/>
    <mergeCell ref="C30:H30"/>
    <mergeCell ref="C31:H31"/>
  </mergeCells>
  <phoneticPr fontId="1"/>
  <dataValidations count="3">
    <dataValidation type="list" allowBlank="1" showInputMessage="1" showErrorMessage="1" sqref="E34:G34 E26:G26" xr:uid="{DA0701DC-CCBE-4B75-BDBA-157607CA5393}">
      <formula1>INDIRECT($E$15)</formula1>
    </dataValidation>
    <dataValidation type="list" allowBlank="1" showInputMessage="1" showErrorMessage="1" sqref="E37:H37" xr:uid="{94767414-CA7B-46BF-BAA2-DB1245B0D9D7}">
      <formula1>$M$37:$N$37</formula1>
    </dataValidation>
    <dataValidation type="list" allowBlank="1" showInputMessage="1" showErrorMessage="1" sqref="I29:I31" xr:uid="{0C82267B-3CD3-45F4-BD9B-6E48ADB42044}">
      <formula1>"あり,なし"</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9525</xdr:colOff>
                    <xdr:row>16</xdr:row>
                    <xdr:rowOff>28575</xdr:rowOff>
                  </from>
                  <to>
                    <xdr:col>3</xdr:col>
                    <xdr:colOff>38100</xdr:colOff>
                    <xdr:row>17</xdr:row>
                    <xdr:rowOff>28575</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0</xdr:colOff>
                    <xdr:row>17</xdr:row>
                    <xdr:rowOff>9525</xdr:rowOff>
                  </from>
                  <to>
                    <xdr:col>5</xdr:col>
                    <xdr:colOff>57150</xdr:colOff>
                    <xdr:row>17</xdr:row>
                    <xdr:rowOff>190500</xdr:rowOff>
                  </to>
                </anchor>
              </controlPr>
            </control>
          </mc:Choice>
        </mc:AlternateContent>
        <mc:AlternateContent xmlns:mc="http://schemas.openxmlformats.org/markup-compatibility/2006">
          <mc:Choice Requires="x14">
            <control shapeId="48172" r:id="rId6" name="Check Box 44">
              <controlPr locked="0" defaultSize="0" autoFill="0" autoLine="0" autoPict="0">
                <anchor moveWithCells="1">
                  <from>
                    <xdr:col>2</xdr:col>
                    <xdr:colOff>9525</xdr:colOff>
                    <xdr:row>21</xdr:row>
                    <xdr:rowOff>28575</xdr:rowOff>
                  </from>
                  <to>
                    <xdr:col>3</xdr:col>
                    <xdr:colOff>38100</xdr:colOff>
                    <xdr:row>22</xdr:row>
                    <xdr:rowOff>28575</xdr:rowOff>
                  </to>
                </anchor>
              </controlPr>
            </control>
          </mc:Choice>
        </mc:AlternateContent>
        <mc:AlternateContent xmlns:mc="http://schemas.openxmlformats.org/markup-compatibility/2006">
          <mc:Choice Requires="x14">
            <control shapeId="48181" r:id="rId7" name="Check Box 53">
              <controlPr locked="0" defaultSize="0" autoFill="0" autoLine="0" autoPict="0">
                <anchor moveWithCells="1">
                  <from>
                    <xdr:col>4</xdr:col>
                    <xdr:colOff>0</xdr:colOff>
                    <xdr:row>22</xdr:row>
                    <xdr:rowOff>47625</xdr:rowOff>
                  </from>
                  <to>
                    <xdr:col>5</xdr:col>
                    <xdr:colOff>19050</xdr:colOff>
                    <xdr:row>22</xdr:row>
                    <xdr:rowOff>180975</xdr:rowOff>
                  </to>
                </anchor>
              </controlPr>
            </control>
          </mc:Choice>
        </mc:AlternateContent>
        <mc:AlternateContent xmlns:mc="http://schemas.openxmlformats.org/markup-compatibility/2006">
          <mc:Choice Requires="x14">
            <control shapeId="48187" r:id="rId8" name="Check Box 59">
              <controlPr locked="0" defaultSize="0" autoFill="0" autoLine="0" autoPict="0">
                <anchor moveWithCells="1">
                  <from>
                    <xdr:col>4</xdr:col>
                    <xdr:colOff>0</xdr:colOff>
                    <xdr:row>18</xdr:row>
                    <xdr:rowOff>9525</xdr:rowOff>
                  </from>
                  <to>
                    <xdr:col>5</xdr:col>
                    <xdr:colOff>57150</xdr:colOff>
                    <xdr:row>18</xdr:row>
                    <xdr:rowOff>190500</xdr:rowOff>
                  </to>
                </anchor>
              </controlPr>
            </control>
          </mc:Choice>
        </mc:AlternateContent>
        <mc:AlternateContent xmlns:mc="http://schemas.openxmlformats.org/markup-compatibility/2006">
          <mc:Choice Requires="x14">
            <control shapeId="48188" r:id="rId9" name="Check Box 60">
              <controlPr locked="0" defaultSize="0" autoFill="0" autoLine="0" autoPict="0">
                <anchor moveWithCells="1">
                  <from>
                    <xdr:col>6</xdr:col>
                    <xdr:colOff>9525</xdr:colOff>
                    <xdr:row>14</xdr:row>
                    <xdr:rowOff>9525</xdr:rowOff>
                  </from>
                  <to>
                    <xdr:col>7</xdr:col>
                    <xdr:colOff>57150</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tabColor rgb="FFFFFF00"/>
    <pageSetUpPr fitToPage="1"/>
  </sheetPr>
  <dimension ref="A1:BF154"/>
  <sheetViews>
    <sheetView view="pageBreakPreview" zoomScaleNormal="115" zoomScaleSheetLayoutView="100" workbookViewId="0">
      <selection sqref="A1:AT2"/>
    </sheetView>
  </sheetViews>
  <sheetFormatPr defaultColWidth="8.875" defaultRowHeight="12" x14ac:dyDescent="0.15"/>
  <cols>
    <col min="1" max="46" width="2.125" style="32" customWidth="1"/>
    <col min="47" max="47" width="8.125" style="32" hidden="1" customWidth="1"/>
    <col min="48" max="48" width="28" style="32" customWidth="1"/>
    <col min="49" max="57" width="2.125" style="32" customWidth="1"/>
    <col min="58" max="61" width="3.5" style="32" customWidth="1"/>
    <col min="62" max="16384" width="8.875" style="32"/>
  </cols>
  <sheetData>
    <row r="1" spans="1:48" x14ac:dyDescent="0.15">
      <c r="A1" s="387" t="s">
        <v>31</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row>
    <row r="2" spans="1:48" x14ac:dyDescent="0.15">
      <c r="A2" s="390"/>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2"/>
    </row>
    <row r="3" spans="1:48" x14ac:dyDescent="0.15">
      <c r="A3" s="374" t="str">
        <f>"【"&amp;製品カテゴリ&amp;"】"</f>
        <v>【測量機（自動視準・自動追尾機能付き高機能トータルステーション）】</v>
      </c>
      <c r="B3" s="374"/>
      <c r="C3" s="374"/>
      <c r="D3" s="374"/>
      <c r="E3" s="374"/>
      <c r="F3" s="374"/>
      <c r="G3" s="374"/>
      <c r="H3" s="374"/>
      <c r="I3" s="374"/>
      <c r="J3" s="374"/>
      <c r="K3" s="374"/>
      <c r="L3" s="374"/>
      <c r="M3" s="374"/>
      <c r="N3" s="374"/>
      <c r="O3" s="374"/>
      <c r="P3" s="374"/>
      <c r="Q3" s="374"/>
      <c r="R3" s="374"/>
      <c r="S3" s="374"/>
      <c r="T3" s="374"/>
      <c r="U3" s="374"/>
      <c r="V3" s="374"/>
      <c r="W3" s="374"/>
      <c r="X3" s="577" t="str">
        <f>IF(AV3=AU3,"","未入力または適切ではない項目があります")</f>
        <v>未入力または適切ではない項目があります</v>
      </c>
      <c r="Y3" s="577"/>
      <c r="Z3" s="577"/>
      <c r="AA3" s="577"/>
      <c r="AB3" s="577"/>
      <c r="AC3" s="577"/>
      <c r="AD3" s="577"/>
      <c r="AE3" s="577"/>
      <c r="AF3" s="577"/>
      <c r="AG3" s="577"/>
      <c r="AH3" s="577"/>
      <c r="AI3" s="577"/>
      <c r="AJ3" s="577"/>
      <c r="AK3" s="577"/>
      <c r="AL3" s="577"/>
      <c r="AM3" s="577"/>
      <c r="AN3" s="577"/>
      <c r="AO3" s="577"/>
      <c r="AP3" s="385" t="s">
        <v>32</v>
      </c>
      <c r="AQ3" s="385"/>
      <c r="AR3" s="385"/>
      <c r="AS3" s="385"/>
      <c r="AT3" s="385"/>
      <c r="AU3" s="32">
        <f>IF(製造事業者番号&lt;&gt;"",15,14)</f>
        <v>14</v>
      </c>
      <c r="AV3" s="47">
        <f>COUNTIF(AV8:AV10,"OK")+COUNTIF(AV14:AV90,"OK")</f>
        <v>0</v>
      </c>
    </row>
    <row r="4" spans="1:48" x14ac:dyDescent="0.15">
      <c r="A4" s="377"/>
      <c r="B4" s="377"/>
      <c r="C4" s="377"/>
      <c r="D4" s="377"/>
      <c r="E4" s="377"/>
      <c r="F4" s="377"/>
      <c r="G4" s="377"/>
      <c r="H4" s="377"/>
      <c r="I4" s="377"/>
      <c r="J4" s="377"/>
      <c r="K4" s="377"/>
      <c r="L4" s="377"/>
      <c r="M4" s="377"/>
      <c r="N4" s="377"/>
      <c r="O4" s="377"/>
      <c r="P4" s="377"/>
      <c r="Q4" s="377"/>
      <c r="R4" s="377"/>
      <c r="S4" s="377"/>
      <c r="T4" s="377"/>
      <c r="U4" s="377"/>
      <c r="V4" s="377"/>
      <c r="W4" s="377"/>
      <c r="X4" s="578"/>
      <c r="Y4" s="578"/>
      <c r="Z4" s="578"/>
      <c r="AA4" s="578"/>
      <c r="AB4" s="578"/>
      <c r="AC4" s="578"/>
      <c r="AD4" s="578"/>
      <c r="AE4" s="578"/>
      <c r="AF4" s="578"/>
      <c r="AG4" s="578"/>
      <c r="AH4" s="578"/>
      <c r="AI4" s="578"/>
      <c r="AJ4" s="578"/>
      <c r="AK4" s="578"/>
      <c r="AL4" s="578"/>
      <c r="AM4" s="578"/>
      <c r="AN4" s="578"/>
      <c r="AO4" s="578"/>
      <c r="AP4" s="386"/>
      <c r="AQ4" s="386"/>
      <c r="AR4" s="386"/>
      <c r="AS4" s="386"/>
      <c r="AT4" s="386"/>
    </row>
    <row r="5" spans="1:48" x14ac:dyDescent="0.15">
      <c r="A5" s="81"/>
      <c r="B5" s="579" t="s">
        <v>33</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82"/>
    </row>
    <row r="6" spans="1:48" x14ac:dyDescent="0.15">
      <c r="A6" s="36"/>
      <c r="B6" s="358" t="s">
        <v>34</v>
      </c>
      <c r="C6" s="358"/>
      <c r="D6" s="358"/>
      <c r="E6" s="358"/>
      <c r="F6" s="358"/>
      <c r="G6" s="358"/>
      <c r="H6" s="358"/>
      <c r="I6" s="358"/>
      <c r="J6" s="358"/>
      <c r="K6" s="116" t="s">
        <v>35</v>
      </c>
      <c r="L6" s="114"/>
      <c r="M6" s="114"/>
      <c r="N6" s="114"/>
      <c r="O6" s="114"/>
      <c r="P6" s="114"/>
      <c r="Q6" s="114"/>
      <c r="R6" s="114"/>
      <c r="S6" s="114"/>
      <c r="T6" s="114"/>
      <c r="U6" s="114"/>
      <c r="V6" s="114"/>
      <c r="W6" s="114"/>
      <c r="X6" s="114"/>
      <c r="Y6" s="114"/>
      <c r="Z6" s="36"/>
      <c r="AA6" s="36"/>
      <c r="AB6" s="36"/>
      <c r="AC6" s="36"/>
      <c r="AD6" s="36"/>
      <c r="AE6" s="36"/>
      <c r="AF6" s="36"/>
      <c r="AG6" s="36"/>
      <c r="AH6" s="36"/>
      <c r="AI6" s="36"/>
      <c r="AJ6" s="36"/>
      <c r="AK6" s="36"/>
      <c r="AL6" s="114"/>
      <c r="AM6" s="36"/>
      <c r="AN6" s="36"/>
      <c r="AO6" s="36"/>
      <c r="AP6" s="36"/>
      <c r="AQ6" s="36"/>
      <c r="AR6" s="36"/>
      <c r="AS6" s="36"/>
      <c r="AT6" s="36"/>
    </row>
    <row r="7" spans="1:48" ht="15" customHeight="1" thickBot="1" x14ac:dyDescent="0.2">
      <c r="A7" s="36"/>
      <c r="B7" s="359"/>
      <c r="C7" s="359"/>
      <c r="D7" s="359"/>
      <c r="E7" s="359"/>
      <c r="F7" s="359"/>
      <c r="G7" s="359"/>
      <c r="H7" s="359"/>
      <c r="I7" s="359"/>
      <c r="J7" s="358"/>
      <c r="K7" s="115" t="s">
        <v>36</v>
      </c>
      <c r="L7" s="114"/>
      <c r="M7" s="114"/>
      <c r="N7" s="114"/>
      <c r="O7" s="114"/>
      <c r="P7" s="114"/>
      <c r="Q7" s="114"/>
      <c r="R7" s="114"/>
      <c r="S7" s="114"/>
      <c r="T7" s="114"/>
      <c r="U7" s="114"/>
      <c r="V7" s="114"/>
      <c r="W7" s="114"/>
      <c r="X7" s="114"/>
      <c r="Y7" s="114"/>
      <c r="Z7" s="36"/>
      <c r="AA7" s="36"/>
      <c r="AB7" s="36"/>
      <c r="AC7" s="36"/>
      <c r="AD7" s="36"/>
      <c r="AE7" s="36"/>
      <c r="AF7" s="36"/>
      <c r="AG7" s="36"/>
      <c r="AH7" s="36"/>
      <c r="AI7" s="36"/>
      <c r="AJ7" s="36"/>
      <c r="AK7" s="36"/>
      <c r="AL7" s="114"/>
      <c r="AM7" s="36"/>
      <c r="AN7" s="36"/>
      <c r="AO7" s="36"/>
      <c r="AP7" s="36"/>
      <c r="AQ7" s="36"/>
      <c r="AR7" s="36"/>
      <c r="AS7" s="36"/>
      <c r="AT7" s="36"/>
    </row>
    <row r="8" spans="1:48" x14ac:dyDescent="0.15">
      <c r="A8" s="36"/>
      <c r="B8" s="422" t="s">
        <v>37</v>
      </c>
      <c r="C8" s="423"/>
      <c r="D8" s="423"/>
      <c r="E8" s="423"/>
      <c r="F8" s="423"/>
      <c r="G8" s="423"/>
      <c r="H8" s="423"/>
      <c r="I8" s="423"/>
      <c r="J8" s="557"/>
      <c r="K8" s="558"/>
      <c r="L8" s="558"/>
      <c r="M8" s="558"/>
      <c r="N8" s="558"/>
      <c r="O8" s="558"/>
      <c r="P8" s="558"/>
      <c r="Q8" s="558"/>
      <c r="R8" s="558"/>
      <c r="S8" s="558"/>
      <c r="T8" s="558"/>
      <c r="U8" s="559"/>
      <c r="V8" s="422" t="s">
        <v>38</v>
      </c>
      <c r="W8" s="423"/>
      <c r="X8" s="423"/>
      <c r="Y8" s="423"/>
      <c r="Z8" s="423"/>
      <c r="AA8" s="423"/>
      <c r="AB8" s="423"/>
      <c r="AC8" s="423"/>
      <c r="AD8" s="557"/>
      <c r="AE8" s="558"/>
      <c r="AF8" s="558"/>
      <c r="AG8" s="558"/>
      <c r="AH8" s="558"/>
      <c r="AI8" s="558"/>
      <c r="AJ8" s="558"/>
      <c r="AK8" s="558"/>
      <c r="AL8" s="558"/>
      <c r="AM8" s="558"/>
      <c r="AN8" s="558"/>
      <c r="AO8" s="559"/>
      <c r="AP8" s="114"/>
      <c r="AQ8" s="114"/>
      <c r="AR8" s="114"/>
      <c r="AS8" s="114"/>
      <c r="AT8" s="36"/>
      <c r="AU8" s="45"/>
      <c r="AV8" s="42" t="str">
        <f>IF(J8&lt;&gt;"",IF(LEN(ASC(J8))=13,IF(ISNUMBER(J8),"OK","半角数字で入力してください"),"半角数字13桁で入力してください"),"必須：法人番号")</f>
        <v>必須：法人番号</v>
      </c>
    </row>
    <row r="9" spans="1:48" ht="12.75" thickBot="1" x14ac:dyDescent="0.2">
      <c r="A9" s="36"/>
      <c r="B9" s="426"/>
      <c r="C9" s="427"/>
      <c r="D9" s="427"/>
      <c r="E9" s="427"/>
      <c r="F9" s="427"/>
      <c r="G9" s="427"/>
      <c r="H9" s="427"/>
      <c r="I9" s="427"/>
      <c r="J9" s="560"/>
      <c r="K9" s="561"/>
      <c r="L9" s="561"/>
      <c r="M9" s="561"/>
      <c r="N9" s="561"/>
      <c r="O9" s="561"/>
      <c r="P9" s="561"/>
      <c r="Q9" s="561"/>
      <c r="R9" s="561"/>
      <c r="S9" s="561"/>
      <c r="T9" s="561"/>
      <c r="U9" s="562"/>
      <c r="V9" s="426"/>
      <c r="W9" s="427"/>
      <c r="X9" s="427"/>
      <c r="Y9" s="427"/>
      <c r="Z9" s="427"/>
      <c r="AA9" s="427"/>
      <c r="AB9" s="427"/>
      <c r="AC9" s="427"/>
      <c r="AD9" s="560"/>
      <c r="AE9" s="561"/>
      <c r="AF9" s="561"/>
      <c r="AG9" s="561"/>
      <c r="AH9" s="561"/>
      <c r="AI9" s="561"/>
      <c r="AJ9" s="561"/>
      <c r="AK9" s="561"/>
      <c r="AL9" s="561"/>
      <c r="AM9" s="561"/>
      <c r="AN9" s="561"/>
      <c r="AO9" s="562"/>
      <c r="AP9" s="114"/>
      <c r="AQ9" s="114"/>
      <c r="AR9" s="114"/>
      <c r="AS9" s="114"/>
      <c r="AT9" s="36"/>
      <c r="AU9" s="45"/>
      <c r="AV9" s="43" t="str">
        <f>IF(AD8&lt;&gt;"","OK","必須：事業者区分")</f>
        <v>必須：事業者区分</v>
      </c>
    </row>
    <row r="10" spans="1:48" x14ac:dyDescent="0.15">
      <c r="A10" s="36"/>
      <c r="B10" s="441" t="s">
        <v>244</v>
      </c>
      <c r="C10" s="423"/>
      <c r="D10" s="423"/>
      <c r="E10" s="423"/>
      <c r="F10" s="423"/>
      <c r="G10" s="423"/>
      <c r="H10" s="423"/>
      <c r="I10" s="423"/>
      <c r="J10" s="563" t="s">
        <v>39</v>
      </c>
      <c r="K10" s="564"/>
      <c r="L10" s="567"/>
      <c r="M10" s="568"/>
      <c r="N10" s="568"/>
      <c r="O10" s="568"/>
      <c r="P10" s="568"/>
      <c r="Q10" s="568"/>
      <c r="R10" s="568"/>
      <c r="S10" s="568"/>
      <c r="T10" s="568"/>
      <c r="U10" s="569"/>
      <c r="V10" s="573" t="s">
        <v>243</v>
      </c>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36"/>
      <c r="AV10" s="42" t="str">
        <f>IF(L10&lt;&gt;"",IF(LEN(ASC(L10))=8,"OK","半角数字8桁で入力してください"),"登録済の場合必須：製造事業者番号")</f>
        <v>登録済の場合必須：製造事業者番号</v>
      </c>
    </row>
    <row r="11" spans="1:48" ht="27" customHeight="1" thickBot="1" x14ac:dyDescent="0.2">
      <c r="A11" s="36"/>
      <c r="B11" s="426"/>
      <c r="C11" s="427"/>
      <c r="D11" s="427"/>
      <c r="E11" s="427"/>
      <c r="F11" s="427"/>
      <c r="G11" s="427"/>
      <c r="H11" s="427"/>
      <c r="I11" s="427"/>
      <c r="J11" s="565"/>
      <c r="K11" s="566"/>
      <c r="L11" s="570"/>
      <c r="M11" s="571"/>
      <c r="N11" s="571"/>
      <c r="O11" s="571"/>
      <c r="P11" s="571"/>
      <c r="Q11" s="571"/>
      <c r="R11" s="571"/>
      <c r="S11" s="571"/>
      <c r="T11" s="571"/>
      <c r="U11" s="572"/>
      <c r="V11" s="575"/>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36"/>
    </row>
    <row r="12" spans="1:48" x14ac:dyDescent="0.15">
      <c r="A12" s="36"/>
      <c r="B12" s="422" t="s">
        <v>40</v>
      </c>
      <c r="C12" s="423"/>
      <c r="D12" s="423"/>
      <c r="E12" s="423"/>
      <c r="F12" s="423"/>
      <c r="G12" s="423"/>
      <c r="H12" s="423"/>
      <c r="I12" s="423"/>
      <c r="J12" s="531">
        <f>製造事業者名</f>
        <v>0</v>
      </c>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3"/>
      <c r="AT12" s="36"/>
      <c r="AV12" s="43"/>
    </row>
    <row r="13" spans="1:48" ht="12.75" thickBot="1" x14ac:dyDescent="0.2">
      <c r="A13" s="36"/>
      <c r="B13" s="426"/>
      <c r="C13" s="427"/>
      <c r="D13" s="427"/>
      <c r="E13" s="427"/>
      <c r="F13" s="427"/>
      <c r="G13" s="427"/>
      <c r="H13" s="427"/>
      <c r="I13" s="427"/>
      <c r="J13" s="534"/>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6"/>
      <c r="AT13" s="36"/>
    </row>
    <row r="14" spans="1:48" x14ac:dyDescent="0.15">
      <c r="A14" s="36"/>
      <c r="B14" s="422" t="s">
        <v>41</v>
      </c>
      <c r="C14" s="423"/>
      <c r="D14" s="423"/>
      <c r="E14" s="423"/>
      <c r="F14" s="423"/>
      <c r="G14" s="423"/>
      <c r="H14" s="423"/>
      <c r="I14" s="423"/>
      <c r="J14" s="514"/>
      <c r="K14" s="515"/>
      <c r="L14" s="515"/>
      <c r="M14" s="515"/>
      <c r="N14" s="515"/>
      <c r="O14" s="515"/>
      <c r="P14" s="515"/>
      <c r="Q14" s="515"/>
      <c r="R14" s="515"/>
      <c r="S14" s="515"/>
      <c r="T14" s="515"/>
      <c r="U14" s="515"/>
      <c r="V14" s="515"/>
      <c r="W14" s="516"/>
      <c r="X14" s="540" t="s">
        <v>42</v>
      </c>
      <c r="Y14" s="541"/>
      <c r="Z14" s="541"/>
      <c r="AA14" s="541"/>
      <c r="AB14" s="541"/>
      <c r="AC14" s="541"/>
      <c r="AD14" s="541"/>
      <c r="AE14" s="542"/>
      <c r="AF14" s="545"/>
      <c r="AG14" s="546"/>
      <c r="AH14" s="546"/>
      <c r="AI14" s="546"/>
      <c r="AJ14" s="546"/>
      <c r="AK14" s="546"/>
      <c r="AL14" s="547"/>
      <c r="AM14" s="548"/>
      <c r="AN14" s="546"/>
      <c r="AO14" s="546"/>
      <c r="AP14" s="546"/>
      <c r="AQ14" s="546"/>
      <c r="AR14" s="546"/>
      <c r="AS14" s="549"/>
      <c r="AT14" s="36"/>
      <c r="AU14" s="33"/>
      <c r="AV14" s="43" t="str">
        <f>IF(J14&lt;&gt;"","OK","必須：担当者所属")</f>
        <v>必須：担当者所属</v>
      </c>
    </row>
    <row r="15" spans="1:48" ht="13.5" customHeight="1" x14ac:dyDescent="0.15">
      <c r="A15" s="36"/>
      <c r="B15" s="424"/>
      <c r="C15" s="425"/>
      <c r="D15" s="425"/>
      <c r="E15" s="425"/>
      <c r="F15" s="425"/>
      <c r="G15" s="425"/>
      <c r="H15" s="425"/>
      <c r="I15" s="425"/>
      <c r="J15" s="537"/>
      <c r="K15" s="538"/>
      <c r="L15" s="538"/>
      <c r="M15" s="538"/>
      <c r="N15" s="538"/>
      <c r="O15" s="538"/>
      <c r="P15" s="538"/>
      <c r="Q15" s="538"/>
      <c r="R15" s="538"/>
      <c r="S15" s="538"/>
      <c r="T15" s="538"/>
      <c r="U15" s="538"/>
      <c r="V15" s="538"/>
      <c r="W15" s="539"/>
      <c r="X15" s="543"/>
      <c r="Y15" s="425"/>
      <c r="Z15" s="425"/>
      <c r="AA15" s="425"/>
      <c r="AB15" s="425"/>
      <c r="AC15" s="425"/>
      <c r="AD15" s="425"/>
      <c r="AE15" s="494"/>
      <c r="AF15" s="550"/>
      <c r="AG15" s="551"/>
      <c r="AH15" s="551"/>
      <c r="AI15" s="551"/>
      <c r="AJ15" s="551"/>
      <c r="AK15" s="551"/>
      <c r="AL15" s="552"/>
      <c r="AM15" s="554"/>
      <c r="AN15" s="551"/>
      <c r="AO15" s="551"/>
      <c r="AP15" s="551"/>
      <c r="AQ15" s="551"/>
      <c r="AR15" s="551"/>
      <c r="AS15" s="555"/>
      <c r="AT15" s="36"/>
      <c r="AU15" s="33"/>
      <c r="AV15" s="43" t="str">
        <f>IF(AF14&lt;&gt;"",IF(AM14&lt;&gt;"","OK","必須：担当者名かな"),"必須：担当者氏かな")</f>
        <v>必須：担当者氏かな</v>
      </c>
    </row>
    <row r="16" spans="1:48" ht="14.25" customHeight="1" thickBot="1" x14ac:dyDescent="0.2">
      <c r="A16" s="36"/>
      <c r="B16" s="426"/>
      <c r="C16" s="427"/>
      <c r="D16" s="427"/>
      <c r="E16" s="427"/>
      <c r="F16" s="427"/>
      <c r="G16" s="427"/>
      <c r="H16" s="427"/>
      <c r="I16" s="427"/>
      <c r="J16" s="517"/>
      <c r="K16" s="518"/>
      <c r="L16" s="518"/>
      <c r="M16" s="518"/>
      <c r="N16" s="518"/>
      <c r="O16" s="518"/>
      <c r="P16" s="518"/>
      <c r="Q16" s="518"/>
      <c r="R16" s="518"/>
      <c r="S16" s="518"/>
      <c r="T16" s="518"/>
      <c r="U16" s="518"/>
      <c r="V16" s="518"/>
      <c r="W16" s="519"/>
      <c r="X16" s="544"/>
      <c r="Y16" s="427"/>
      <c r="Z16" s="427"/>
      <c r="AA16" s="427"/>
      <c r="AB16" s="427"/>
      <c r="AC16" s="427"/>
      <c r="AD16" s="427"/>
      <c r="AE16" s="499"/>
      <c r="AF16" s="517"/>
      <c r="AG16" s="518"/>
      <c r="AH16" s="518"/>
      <c r="AI16" s="518"/>
      <c r="AJ16" s="518"/>
      <c r="AK16" s="518"/>
      <c r="AL16" s="553"/>
      <c r="AM16" s="556"/>
      <c r="AN16" s="518"/>
      <c r="AO16" s="518"/>
      <c r="AP16" s="518"/>
      <c r="AQ16" s="518"/>
      <c r="AR16" s="518"/>
      <c r="AS16" s="519"/>
      <c r="AT16" s="36"/>
      <c r="AV16" s="42" t="str">
        <f>IF(AF15&lt;&gt;"",IF(AM15&lt;&gt;"","OK","必須：担当者名"),"必須：担当者氏")</f>
        <v>必須：担当者氏</v>
      </c>
    </row>
    <row r="17" spans="1:48" ht="13.5" customHeight="1" x14ac:dyDescent="0.15">
      <c r="A17" s="36"/>
      <c r="B17" s="422" t="s">
        <v>43</v>
      </c>
      <c r="C17" s="423"/>
      <c r="D17" s="423"/>
      <c r="E17" s="423"/>
      <c r="F17" s="423"/>
      <c r="G17" s="423"/>
      <c r="H17" s="423"/>
      <c r="I17" s="423"/>
      <c r="J17" s="523"/>
      <c r="K17" s="524"/>
      <c r="L17" s="524"/>
      <c r="M17" s="524"/>
      <c r="N17" s="527" t="s">
        <v>44</v>
      </c>
      <c r="O17" s="524"/>
      <c r="P17" s="524"/>
      <c r="Q17" s="524"/>
      <c r="R17" s="524"/>
      <c r="S17" s="527" t="s">
        <v>44</v>
      </c>
      <c r="T17" s="524"/>
      <c r="U17" s="524"/>
      <c r="V17" s="524"/>
      <c r="W17" s="529"/>
      <c r="X17" s="447" t="s">
        <v>45</v>
      </c>
      <c r="Y17" s="423"/>
      <c r="Z17" s="423"/>
      <c r="AA17" s="423"/>
      <c r="AB17" s="423"/>
      <c r="AC17" s="423"/>
      <c r="AD17" s="423"/>
      <c r="AE17" s="423"/>
      <c r="AF17" s="514"/>
      <c r="AG17" s="515"/>
      <c r="AH17" s="515"/>
      <c r="AI17" s="515"/>
      <c r="AJ17" s="515"/>
      <c r="AK17" s="515"/>
      <c r="AL17" s="515"/>
      <c r="AM17" s="515"/>
      <c r="AN17" s="515"/>
      <c r="AO17" s="515"/>
      <c r="AP17" s="515"/>
      <c r="AQ17" s="515"/>
      <c r="AR17" s="515"/>
      <c r="AS17" s="516"/>
      <c r="AT17" s="36"/>
      <c r="AV17" s="43" t="str">
        <f>IF(J17&amp;O17&amp;T17&lt;&gt;"","OK","必須：担当者連絡先")</f>
        <v>必須：担当者連絡先</v>
      </c>
    </row>
    <row r="18" spans="1:48" ht="14.25" customHeight="1" thickBot="1" x14ac:dyDescent="0.2">
      <c r="A18" s="36"/>
      <c r="B18" s="426"/>
      <c r="C18" s="427"/>
      <c r="D18" s="427"/>
      <c r="E18" s="427"/>
      <c r="F18" s="427"/>
      <c r="G18" s="427"/>
      <c r="H18" s="427"/>
      <c r="I18" s="427"/>
      <c r="J18" s="525"/>
      <c r="K18" s="526"/>
      <c r="L18" s="526"/>
      <c r="M18" s="526"/>
      <c r="N18" s="528"/>
      <c r="O18" s="526"/>
      <c r="P18" s="526"/>
      <c r="Q18" s="526"/>
      <c r="R18" s="526"/>
      <c r="S18" s="528"/>
      <c r="T18" s="526"/>
      <c r="U18" s="526"/>
      <c r="V18" s="526"/>
      <c r="W18" s="530"/>
      <c r="X18" s="427"/>
      <c r="Y18" s="427"/>
      <c r="Z18" s="427"/>
      <c r="AA18" s="427"/>
      <c r="AB18" s="427"/>
      <c r="AC18" s="427"/>
      <c r="AD18" s="427"/>
      <c r="AE18" s="427"/>
      <c r="AF18" s="517"/>
      <c r="AG18" s="518"/>
      <c r="AH18" s="518"/>
      <c r="AI18" s="518"/>
      <c r="AJ18" s="518"/>
      <c r="AK18" s="518"/>
      <c r="AL18" s="518"/>
      <c r="AM18" s="518"/>
      <c r="AN18" s="518"/>
      <c r="AO18" s="518"/>
      <c r="AP18" s="518"/>
      <c r="AQ18" s="518"/>
      <c r="AR18" s="518"/>
      <c r="AS18" s="519"/>
      <c r="AT18" s="36"/>
      <c r="AV18" s="43" t="str">
        <f>IF(AF17&lt;&gt;"","OK","必須：担当者メールアドレス")</f>
        <v>必須：担当者メールアドレス</v>
      </c>
    </row>
    <row r="19" spans="1:48" ht="3.75" customHeight="1" x14ac:dyDescent="0.15">
      <c r="A19" s="36"/>
      <c r="B19" s="140"/>
      <c r="C19" s="140"/>
      <c r="D19" s="140"/>
      <c r="E19" s="140"/>
      <c r="F19" s="140"/>
      <c r="G19" s="140"/>
      <c r="H19" s="140"/>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row>
    <row r="20" spans="1:48" ht="12.75" thickBot="1" x14ac:dyDescent="0.2">
      <c r="A20" s="36"/>
      <c r="B20" s="140" t="s">
        <v>46</v>
      </c>
      <c r="C20" s="140"/>
      <c r="D20" s="140"/>
      <c r="E20" s="140"/>
      <c r="F20" s="140"/>
      <c r="G20" s="140"/>
      <c r="H20" s="140"/>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row>
    <row r="21" spans="1:48" ht="12.75" thickBot="1" x14ac:dyDescent="0.2">
      <c r="A21" s="36"/>
      <c r="B21" s="422" t="s">
        <v>47</v>
      </c>
      <c r="C21" s="423"/>
      <c r="D21" s="423"/>
      <c r="E21" s="423"/>
      <c r="F21" s="423"/>
      <c r="G21" s="423"/>
      <c r="H21" s="423"/>
      <c r="I21" s="423"/>
      <c r="J21" s="485"/>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7"/>
      <c r="AT21" s="36"/>
      <c r="AV21" s="43" t="str">
        <f>IF(J21&lt;&gt;"","OK","必須")</f>
        <v>必須</v>
      </c>
    </row>
    <row r="22" spans="1:48" ht="12.75" thickBot="1" x14ac:dyDescent="0.2">
      <c r="A22" s="36"/>
      <c r="B22" s="426"/>
      <c r="C22" s="427"/>
      <c r="D22" s="427"/>
      <c r="E22" s="427"/>
      <c r="F22" s="427"/>
      <c r="G22" s="427"/>
      <c r="H22" s="427"/>
      <c r="I22" s="427"/>
      <c r="J22" s="485"/>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7"/>
      <c r="AT22" s="36"/>
    </row>
    <row r="23" spans="1:48" ht="12.75" thickBot="1" x14ac:dyDescent="0.2">
      <c r="A23" s="36"/>
      <c r="B23" s="422" t="s">
        <v>48</v>
      </c>
      <c r="C23" s="423"/>
      <c r="D23" s="423"/>
      <c r="E23" s="423"/>
      <c r="F23" s="423"/>
      <c r="G23" s="423"/>
      <c r="H23" s="423"/>
      <c r="I23" s="423"/>
      <c r="J23" s="520">
        <f>型番</f>
        <v>0</v>
      </c>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2"/>
      <c r="AT23" s="36"/>
      <c r="AV23" s="43"/>
    </row>
    <row r="24" spans="1:48" ht="12.75" thickBot="1" x14ac:dyDescent="0.2">
      <c r="A24" s="36"/>
      <c r="B24" s="426"/>
      <c r="C24" s="427"/>
      <c r="D24" s="427"/>
      <c r="E24" s="427"/>
      <c r="F24" s="427"/>
      <c r="G24" s="484"/>
      <c r="H24" s="484"/>
      <c r="I24" s="484"/>
      <c r="J24" s="520"/>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2"/>
      <c r="AT24" s="36"/>
      <c r="AU24" s="143" t="s">
        <v>242</v>
      </c>
    </row>
    <row r="25" spans="1:48" ht="12.75" thickBot="1" x14ac:dyDescent="0.2">
      <c r="A25" s="36"/>
      <c r="B25" s="422" t="s">
        <v>49</v>
      </c>
      <c r="C25" s="423"/>
      <c r="D25" s="423"/>
      <c r="E25" s="423"/>
      <c r="F25" s="423"/>
      <c r="G25" s="423"/>
      <c r="H25" s="423"/>
      <c r="I25" s="493"/>
      <c r="J25" s="495"/>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7"/>
      <c r="AT25" s="36"/>
      <c r="AU25" s="32">
        <v>255</v>
      </c>
      <c r="AV25" s="43" t="str">
        <f>IF(J25&lt;&gt;"",IF(LEN(製品概要)&gt;AU25,"最大文字数を超えています。","OK"),"必須")</f>
        <v>必須</v>
      </c>
    </row>
    <row r="26" spans="1:48" ht="12.75" thickBot="1" x14ac:dyDescent="0.2">
      <c r="A26" s="36"/>
      <c r="B26" s="424"/>
      <c r="C26" s="425"/>
      <c r="D26" s="425"/>
      <c r="E26" s="425"/>
      <c r="F26" s="425"/>
      <c r="G26" s="425"/>
      <c r="H26" s="425"/>
      <c r="I26" s="494"/>
      <c r="J26" s="498"/>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7"/>
      <c r="AT26" s="36"/>
    </row>
    <row r="27" spans="1:48" ht="12.75" thickBot="1" x14ac:dyDescent="0.2">
      <c r="A27" s="36"/>
      <c r="B27" s="424"/>
      <c r="C27" s="425"/>
      <c r="D27" s="425"/>
      <c r="E27" s="425"/>
      <c r="F27" s="425"/>
      <c r="G27" s="425"/>
      <c r="H27" s="425"/>
      <c r="I27" s="494"/>
      <c r="J27" s="498"/>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7"/>
      <c r="AT27" s="36"/>
    </row>
    <row r="28" spans="1:48" ht="12.75" thickBot="1" x14ac:dyDescent="0.2">
      <c r="A28" s="36"/>
      <c r="B28" s="424"/>
      <c r="C28" s="425"/>
      <c r="D28" s="425"/>
      <c r="E28" s="425"/>
      <c r="F28" s="425"/>
      <c r="G28" s="425"/>
      <c r="H28" s="425"/>
      <c r="I28" s="494"/>
      <c r="J28" s="498"/>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7"/>
      <c r="AT28" s="36"/>
    </row>
    <row r="29" spans="1:48" ht="12.75" thickBot="1" x14ac:dyDescent="0.2">
      <c r="A29" s="36"/>
      <c r="B29" s="424"/>
      <c r="C29" s="425"/>
      <c r="D29" s="425"/>
      <c r="E29" s="425"/>
      <c r="F29" s="425"/>
      <c r="G29" s="425"/>
      <c r="H29" s="425"/>
      <c r="I29" s="494"/>
      <c r="J29" s="498"/>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7"/>
      <c r="AT29" s="36"/>
    </row>
    <row r="30" spans="1:48" ht="12.75" thickBot="1" x14ac:dyDescent="0.2">
      <c r="A30" s="36"/>
      <c r="B30" s="426" t="str">
        <f>LEN(製品概要)&amp;"文字/"&amp;AU25&amp;"文字"</f>
        <v>0文字/255文字</v>
      </c>
      <c r="C30" s="427"/>
      <c r="D30" s="427"/>
      <c r="E30" s="427"/>
      <c r="F30" s="427"/>
      <c r="G30" s="427"/>
      <c r="H30" s="427"/>
      <c r="I30" s="499"/>
      <c r="J30" s="498"/>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7"/>
      <c r="AT30" s="36"/>
    </row>
    <row r="31" spans="1:48" ht="41.1" customHeight="1" x14ac:dyDescent="0.15">
      <c r="A31" s="36"/>
      <c r="B31" s="441" t="s">
        <v>227</v>
      </c>
      <c r="C31" s="447"/>
      <c r="D31" s="447"/>
      <c r="E31" s="447"/>
      <c r="F31" s="447"/>
      <c r="G31" s="447"/>
      <c r="H31" s="447"/>
      <c r="I31" s="500"/>
      <c r="J31" s="503" t="s">
        <v>245</v>
      </c>
      <c r="K31" s="504"/>
      <c r="L31" s="504"/>
      <c r="M31" s="504"/>
      <c r="N31" s="504"/>
      <c r="O31" s="504"/>
      <c r="P31" s="504"/>
      <c r="Q31" s="504"/>
      <c r="R31" s="504"/>
      <c r="S31" s="504"/>
      <c r="T31" s="504"/>
      <c r="U31" s="504"/>
      <c r="V31" s="504"/>
      <c r="W31" s="504"/>
      <c r="X31" s="504"/>
      <c r="Y31" s="504"/>
      <c r="Z31" s="504"/>
      <c r="AA31" s="504"/>
      <c r="AB31" s="504" t="s">
        <v>246</v>
      </c>
      <c r="AC31" s="504"/>
      <c r="AD31" s="504"/>
      <c r="AE31" s="504"/>
      <c r="AF31" s="504"/>
      <c r="AG31" s="504"/>
      <c r="AH31" s="504"/>
      <c r="AI31" s="504"/>
      <c r="AJ31" s="504"/>
      <c r="AK31" s="504"/>
      <c r="AL31" s="504"/>
      <c r="AM31" s="504"/>
      <c r="AN31" s="504"/>
      <c r="AO31" s="504"/>
      <c r="AP31" s="504"/>
      <c r="AQ31" s="504"/>
      <c r="AR31" s="504"/>
      <c r="AS31" s="505"/>
      <c r="AT31" s="36"/>
      <c r="AU31" s="45" t="b">
        <v>0</v>
      </c>
      <c r="AV31" s="43" t="str">
        <f>IF(J32&lt;&gt;"","OK","必須：製品明細【A】製品本体にあたるもの")</f>
        <v>必須：製品明細【A】製品本体にあたるもの</v>
      </c>
    </row>
    <row r="32" spans="1:48" ht="16.5" customHeight="1" x14ac:dyDescent="0.15">
      <c r="A32" s="36"/>
      <c r="B32" s="443"/>
      <c r="C32" s="448"/>
      <c r="D32" s="448"/>
      <c r="E32" s="448"/>
      <c r="F32" s="448"/>
      <c r="G32" s="448"/>
      <c r="H32" s="448"/>
      <c r="I32" s="501"/>
      <c r="J32" s="506"/>
      <c r="K32" s="507"/>
      <c r="L32" s="507"/>
      <c r="M32" s="507"/>
      <c r="N32" s="507"/>
      <c r="O32" s="507"/>
      <c r="P32" s="507"/>
      <c r="Q32" s="507"/>
      <c r="R32" s="507"/>
      <c r="S32" s="507"/>
      <c r="T32" s="507"/>
      <c r="U32" s="507"/>
      <c r="V32" s="507"/>
      <c r="W32" s="507"/>
      <c r="X32" s="507"/>
      <c r="Y32" s="507"/>
      <c r="Z32" s="507"/>
      <c r="AA32" s="507"/>
      <c r="AB32" s="510"/>
      <c r="AC32" s="511"/>
      <c r="AD32" s="512" t="s">
        <v>241</v>
      </c>
      <c r="AE32" s="512"/>
      <c r="AF32" s="512"/>
      <c r="AG32" s="512"/>
      <c r="AH32" s="512"/>
      <c r="AI32" s="512"/>
      <c r="AJ32" s="512"/>
      <c r="AK32" s="512"/>
      <c r="AL32" s="512"/>
      <c r="AM32" s="512"/>
      <c r="AN32" s="512"/>
      <c r="AO32" s="512"/>
      <c r="AP32" s="512"/>
      <c r="AQ32" s="512"/>
      <c r="AR32" s="512"/>
      <c r="AS32" s="513"/>
      <c r="AT32" s="36"/>
      <c r="AU32" s="474" t="str">
        <f>"【A】
"&amp;J32&amp;"
【B】
"&amp;IF(AU31=TRUE,AD32,AB33)</f>
        <v xml:space="preserve">【A】
【B】
</v>
      </c>
      <c r="AV32" s="43" t="str">
        <f>IF(AB33&lt;&gt;"","OK",IF(AU31=TRUE,"OK","必須：製品明細【B】本体と併せて登録するシステムや周辺機器等"))</f>
        <v>必須：製品明細【B】本体と併せて登録するシステムや周辺機器等</v>
      </c>
    </row>
    <row r="33" spans="1:48" ht="13.5" customHeight="1" x14ac:dyDescent="0.15">
      <c r="A33" s="36"/>
      <c r="B33" s="443"/>
      <c r="C33" s="448"/>
      <c r="D33" s="448"/>
      <c r="E33" s="448"/>
      <c r="F33" s="448"/>
      <c r="G33" s="448"/>
      <c r="H33" s="448"/>
      <c r="I33" s="501"/>
      <c r="J33" s="506"/>
      <c r="K33" s="507"/>
      <c r="L33" s="507"/>
      <c r="M33" s="507"/>
      <c r="N33" s="507"/>
      <c r="O33" s="507"/>
      <c r="P33" s="507"/>
      <c r="Q33" s="507"/>
      <c r="R33" s="507"/>
      <c r="S33" s="507"/>
      <c r="T33" s="507"/>
      <c r="U33" s="507"/>
      <c r="V33" s="507"/>
      <c r="W33" s="507"/>
      <c r="X33" s="507"/>
      <c r="Y33" s="507"/>
      <c r="Z33" s="507"/>
      <c r="AA33" s="507"/>
      <c r="AB33" s="475"/>
      <c r="AC33" s="476"/>
      <c r="AD33" s="476"/>
      <c r="AE33" s="476"/>
      <c r="AF33" s="476"/>
      <c r="AG33" s="476"/>
      <c r="AH33" s="476"/>
      <c r="AI33" s="476"/>
      <c r="AJ33" s="476"/>
      <c r="AK33" s="476"/>
      <c r="AL33" s="476"/>
      <c r="AM33" s="476"/>
      <c r="AN33" s="476"/>
      <c r="AO33" s="476"/>
      <c r="AP33" s="476"/>
      <c r="AQ33" s="476"/>
      <c r="AR33" s="476"/>
      <c r="AS33" s="477"/>
      <c r="AT33" s="36"/>
      <c r="AU33" s="474"/>
      <c r="AV33" s="142" t="str">
        <f>IF(AU31=TRUE,IF(AB33&lt;&gt;"","！！！製品明細【B】で「対象なし」が選択されている場合、入力されている明細は登録されません！！！",""),"")</f>
        <v/>
      </c>
    </row>
    <row r="34" spans="1:48" ht="13.5" customHeight="1" x14ac:dyDescent="0.15">
      <c r="A34" s="36"/>
      <c r="B34" s="443"/>
      <c r="C34" s="448"/>
      <c r="D34" s="448"/>
      <c r="E34" s="448"/>
      <c r="F34" s="448"/>
      <c r="G34" s="448"/>
      <c r="H34" s="448"/>
      <c r="I34" s="501"/>
      <c r="J34" s="506"/>
      <c r="K34" s="507"/>
      <c r="L34" s="507"/>
      <c r="M34" s="507"/>
      <c r="N34" s="507"/>
      <c r="O34" s="507"/>
      <c r="P34" s="507"/>
      <c r="Q34" s="507"/>
      <c r="R34" s="507"/>
      <c r="S34" s="507"/>
      <c r="T34" s="507"/>
      <c r="U34" s="507"/>
      <c r="V34" s="507"/>
      <c r="W34" s="507"/>
      <c r="X34" s="507"/>
      <c r="Y34" s="507"/>
      <c r="Z34" s="507"/>
      <c r="AA34" s="507"/>
      <c r="AB34" s="478"/>
      <c r="AC34" s="479"/>
      <c r="AD34" s="479"/>
      <c r="AE34" s="479"/>
      <c r="AF34" s="479"/>
      <c r="AG34" s="479"/>
      <c r="AH34" s="479"/>
      <c r="AI34" s="479"/>
      <c r="AJ34" s="479"/>
      <c r="AK34" s="479"/>
      <c r="AL34" s="479"/>
      <c r="AM34" s="479"/>
      <c r="AN34" s="479"/>
      <c r="AO34" s="479"/>
      <c r="AP34" s="479"/>
      <c r="AQ34" s="479"/>
      <c r="AR34" s="479"/>
      <c r="AS34" s="480"/>
      <c r="AT34" s="36"/>
      <c r="AU34" s="474"/>
    </row>
    <row r="35" spans="1:48" ht="13.5" customHeight="1" x14ac:dyDescent="0.15">
      <c r="A35" s="36"/>
      <c r="B35" s="443"/>
      <c r="C35" s="448"/>
      <c r="D35" s="448"/>
      <c r="E35" s="448"/>
      <c r="F35" s="448"/>
      <c r="G35" s="448"/>
      <c r="H35" s="448"/>
      <c r="I35" s="501"/>
      <c r="J35" s="506"/>
      <c r="K35" s="507"/>
      <c r="L35" s="507"/>
      <c r="M35" s="507"/>
      <c r="N35" s="507"/>
      <c r="O35" s="507"/>
      <c r="P35" s="507"/>
      <c r="Q35" s="507"/>
      <c r="R35" s="507"/>
      <c r="S35" s="507"/>
      <c r="T35" s="507"/>
      <c r="U35" s="507"/>
      <c r="V35" s="507"/>
      <c r="W35" s="507"/>
      <c r="X35" s="507"/>
      <c r="Y35" s="507"/>
      <c r="Z35" s="507"/>
      <c r="AA35" s="507"/>
      <c r="AB35" s="478"/>
      <c r="AC35" s="479"/>
      <c r="AD35" s="479"/>
      <c r="AE35" s="479"/>
      <c r="AF35" s="479"/>
      <c r="AG35" s="479"/>
      <c r="AH35" s="479"/>
      <c r="AI35" s="479"/>
      <c r="AJ35" s="479"/>
      <c r="AK35" s="479"/>
      <c r="AL35" s="479"/>
      <c r="AM35" s="479"/>
      <c r="AN35" s="479"/>
      <c r="AO35" s="479"/>
      <c r="AP35" s="479"/>
      <c r="AQ35" s="479"/>
      <c r="AR35" s="479"/>
      <c r="AS35" s="480"/>
      <c r="AT35" s="36"/>
      <c r="AU35" s="474"/>
    </row>
    <row r="36" spans="1:48" ht="13.5" customHeight="1" x14ac:dyDescent="0.15">
      <c r="A36" s="36"/>
      <c r="B36" s="443"/>
      <c r="C36" s="448"/>
      <c r="D36" s="448"/>
      <c r="E36" s="448"/>
      <c r="F36" s="448"/>
      <c r="G36" s="448"/>
      <c r="H36" s="448"/>
      <c r="I36" s="501"/>
      <c r="J36" s="506"/>
      <c r="K36" s="507"/>
      <c r="L36" s="507"/>
      <c r="M36" s="507"/>
      <c r="N36" s="507"/>
      <c r="O36" s="507"/>
      <c r="P36" s="507"/>
      <c r="Q36" s="507"/>
      <c r="R36" s="507"/>
      <c r="S36" s="507"/>
      <c r="T36" s="507"/>
      <c r="U36" s="507"/>
      <c r="V36" s="507"/>
      <c r="W36" s="507"/>
      <c r="X36" s="507"/>
      <c r="Y36" s="507"/>
      <c r="Z36" s="507"/>
      <c r="AA36" s="507"/>
      <c r="AB36" s="478"/>
      <c r="AC36" s="479"/>
      <c r="AD36" s="479"/>
      <c r="AE36" s="479"/>
      <c r="AF36" s="479"/>
      <c r="AG36" s="479"/>
      <c r="AH36" s="479"/>
      <c r="AI36" s="479"/>
      <c r="AJ36" s="479"/>
      <c r="AK36" s="479"/>
      <c r="AL36" s="479"/>
      <c r="AM36" s="479"/>
      <c r="AN36" s="479"/>
      <c r="AO36" s="479"/>
      <c r="AP36" s="479"/>
      <c r="AQ36" s="479"/>
      <c r="AR36" s="479"/>
      <c r="AS36" s="480"/>
      <c r="AT36" s="36"/>
      <c r="AU36" s="474"/>
    </row>
    <row r="37" spans="1:48" ht="14.25" customHeight="1" thickBot="1" x14ac:dyDescent="0.2">
      <c r="A37" s="36"/>
      <c r="B37" s="445"/>
      <c r="C37" s="449"/>
      <c r="D37" s="449"/>
      <c r="E37" s="449"/>
      <c r="F37" s="449"/>
      <c r="G37" s="449"/>
      <c r="H37" s="449"/>
      <c r="I37" s="502"/>
      <c r="J37" s="508"/>
      <c r="K37" s="509"/>
      <c r="L37" s="509"/>
      <c r="M37" s="509"/>
      <c r="N37" s="509"/>
      <c r="O37" s="509"/>
      <c r="P37" s="509"/>
      <c r="Q37" s="509"/>
      <c r="R37" s="509"/>
      <c r="S37" s="509"/>
      <c r="T37" s="509"/>
      <c r="U37" s="509"/>
      <c r="V37" s="509"/>
      <c r="W37" s="509"/>
      <c r="X37" s="509"/>
      <c r="Y37" s="509"/>
      <c r="Z37" s="509"/>
      <c r="AA37" s="509"/>
      <c r="AB37" s="481"/>
      <c r="AC37" s="482"/>
      <c r="AD37" s="482"/>
      <c r="AE37" s="482"/>
      <c r="AF37" s="482"/>
      <c r="AG37" s="482"/>
      <c r="AH37" s="482"/>
      <c r="AI37" s="482"/>
      <c r="AJ37" s="482"/>
      <c r="AK37" s="482"/>
      <c r="AL37" s="482"/>
      <c r="AM37" s="482"/>
      <c r="AN37" s="482"/>
      <c r="AO37" s="482"/>
      <c r="AP37" s="482"/>
      <c r="AQ37" s="482"/>
      <c r="AR37" s="482"/>
      <c r="AS37" s="483"/>
      <c r="AT37" s="36"/>
      <c r="AU37" s="474"/>
    </row>
    <row r="38" spans="1:48" ht="12.75" thickBot="1" x14ac:dyDescent="0.2">
      <c r="A38" s="36"/>
      <c r="B38" s="422" t="s">
        <v>50</v>
      </c>
      <c r="C38" s="423"/>
      <c r="D38" s="423"/>
      <c r="E38" s="423"/>
      <c r="F38" s="423"/>
      <c r="G38" s="423"/>
      <c r="H38" s="423"/>
      <c r="I38" s="423"/>
      <c r="J38" s="485"/>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7"/>
      <c r="AT38" s="36"/>
      <c r="AV38" s="43" t="str">
        <f>IF(J38&lt;&gt;"","OK","必須")</f>
        <v>必須</v>
      </c>
    </row>
    <row r="39" spans="1:48" ht="12.75" thickBot="1" x14ac:dyDescent="0.2">
      <c r="A39" s="36"/>
      <c r="B39" s="426"/>
      <c r="C39" s="427"/>
      <c r="D39" s="427"/>
      <c r="E39" s="427"/>
      <c r="F39" s="427"/>
      <c r="G39" s="484"/>
      <c r="H39" s="484"/>
      <c r="I39" s="484"/>
      <c r="J39" s="488"/>
      <c r="K39" s="489"/>
      <c r="L39" s="489"/>
      <c r="M39" s="489"/>
      <c r="N39" s="489"/>
      <c r="O39" s="489"/>
      <c r="P39" s="489"/>
      <c r="Q39" s="489"/>
      <c r="R39" s="489"/>
      <c r="S39" s="489"/>
      <c r="T39" s="489"/>
      <c r="U39" s="489"/>
      <c r="V39" s="489"/>
      <c r="W39" s="489"/>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7"/>
      <c r="AT39" s="36"/>
    </row>
    <row r="40" spans="1:48" ht="6" customHeight="1" x14ac:dyDescent="0.15">
      <c r="A40" s="36"/>
      <c r="B40" s="140"/>
      <c r="C40" s="140"/>
      <c r="D40" s="140"/>
      <c r="E40" s="140"/>
      <c r="F40" s="140"/>
      <c r="G40" s="140"/>
      <c r="H40" s="140"/>
      <c r="I40" s="140"/>
      <c r="J40" s="140"/>
      <c r="K40" s="140"/>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row>
    <row r="41" spans="1:48" x14ac:dyDescent="0.15">
      <c r="A41" s="36"/>
      <c r="B41" s="140" t="s">
        <v>51</v>
      </c>
      <c r="C41" s="141"/>
      <c r="D41" s="141"/>
      <c r="E41" s="141"/>
      <c r="F41" s="141"/>
      <c r="G41" s="141"/>
      <c r="H41" s="141"/>
      <c r="I41" s="141"/>
      <c r="J41" s="141"/>
      <c r="K41" s="141"/>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row>
    <row r="42" spans="1:48" ht="7.5" customHeight="1" x14ac:dyDescent="0.15">
      <c r="A42" s="36"/>
      <c r="B42" s="422" t="s">
        <v>52</v>
      </c>
      <c r="C42" s="423"/>
      <c r="D42" s="423"/>
      <c r="E42" s="423"/>
      <c r="F42" s="423"/>
      <c r="G42" s="423"/>
      <c r="H42" s="423"/>
      <c r="I42" s="455"/>
      <c r="J42" s="490" t="str">
        <f>製品カテゴリ</f>
        <v>測量機（自動視準・自動追尾機能付き高機能トータルステーション）</v>
      </c>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491"/>
      <c r="AT42" s="36"/>
    </row>
    <row r="43" spans="1:48" ht="7.5" customHeight="1" x14ac:dyDescent="0.15">
      <c r="A43" s="36"/>
      <c r="B43" s="426"/>
      <c r="C43" s="427"/>
      <c r="D43" s="427"/>
      <c r="E43" s="427"/>
      <c r="F43" s="427"/>
      <c r="G43" s="427"/>
      <c r="H43" s="427"/>
      <c r="I43" s="456"/>
      <c r="J43" s="365"/>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492"/>
      <c r="AT43" s="36"/>
    </row>
    <row r="44" spans="1:48" ht="7.5" customHeight="1" x14ac:dyDescent="0.15">
      <c r="A44" s="36"/>
      <c r="B44" s="422" t="s">
        <v>53</v>
      </c>
      <c r="C44" s="423"/>
      <c r="D44" s="423"/>
      <c r="E44" s="423"/>
      <c r="F44" s="423"/>
      <c r="G44" s="423"/>
      <c r="H44" s="423"/>
      <c r="I44" s="455"/>
      <c r="J44" s="457" t="str">
        <f>業種</f>
        <v xml:space="preserve">                  </v>
      </c>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5"/>
      <c r="AT44" s="36"/>
    </row>
    <row r="45" spans="1:48" ht="7.5" customHeight="1" x14ac:dyDescent="0.15">
      <c r="A45" s="36"/>
      <c r="B45" s="426"/>
      <c r="C45" s="427"/>
      <c r="D45" s="427"/>
      <c r="E45" s="427"/>
      <c r="F45" s="427"/>
      <c r="G45" s="427"/>
      <c r="H45" s="427"/>
      <c r="I45" s="456"/>
      <c r="J45" s="379"/>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1"/>
      <c r="AT45" s="36"/>
    </row>
    <row r="46" spans="1:48" ht="2.25" hidden="1" customHeight="1" x14ac:dyDescent="0.15">
      <c r="A46" s="36"/>
      <c r="B46" s="40"/>
      <c r="C46" s="37"/>
      <c r="D46" s="37"/>
      <c r="E46" s="37"/>
      <c r="F46" s="37"/>
      <c r="G46" s="37"/>
      <c r="H46" s="37"/>
      <c r="I46" s="37"/>
      <c r="J46" s="140"/>
      <c r="K46" s="140"/>
      <c r="L46" s="140"/>
      <c r="M46" s="140"/>
      <c r="N46" s="140"/>
      <c r="O46" s="140"/>
      <c r="P46" s="140"/>
      <c r="Q46" s="140"/>
      <c r="R46" s="140"/>
      <c r="S46" s="140"/>
      <c r="T46" s="140"/>
      <c r="U46" s="140"/>
      <c r="V46" s="140"/>
      <c r="W46" s="140"/>
      <c r="X46" s="37"/>
      <c r="Y46" s="37"/>
      <c r="Z46" s="37"/>
      <c r="AA46" s="37"/>
      <c r="AB46" s="37"/>
      <c r="AC46" s="37"/>
      <c r="AD46" s="37"/>
      <c r="AE46" s="37"/>
      <c r="AF46" s="140"/>
      <c r="AG46" s="140"/>
      <c r="AH46" s="140"/>
      <c r="AI46" s="140"/>
      <c r="AJ46" s="140"/>
      <c r="AK46" s="140"/>
      <c r="AL46" s="140"/>
      <c r="AM46" s="140"/>
      <c r="AN46" s="140"/>
      <c r="AO46" s="140"/>
      <c r="AP46" s="140"/>
      <c r="AQ46" s="140"/>
      <c r="AR46" s="140"/>
      <c r="AS46" s="140"/>
      <c r="AT46" s="36"/>
    </row>
    <row r="47" spans="1:48" ht="3.75" customHeight="1" x14ac:dyDescent="0.15">
      <c r="A47" s="36"/>
      <c r="B47" s="393" t="s">
        <v>54</v>
      </c>
      <c r="C47" s="393"/>
      <c r="D47" s="393"/>
      <c r="E47" s="393"/>
      <c r="F47" s="393"/>
      <c r="G47" s="393"/>
      <c r="H47" s="393"/>
      <c r="I47" s="393"/>
      <c r="J47" s="393"/>
      <c r="K47" s="393"/>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row>
    <row r="48" spans="1:48" ht="9" customHeight="1" x14ac:dyDescent="0.15">
      <c r="A48" s="36"/>
      <c r="B48" s="393"/>
      <c r="C48" s="393"/>
      <c r="D48" s="393"/>
      <c r="E48" s="393"/>
      <c r="F48" s="393"/>
      <c r="G48" s="393"/>
      <c r="H48" s="393"/>
      <c r="I48" s="393"/>
      <c r="J48" s="393"/>
      <c r="K48" s="393"/>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row>
    <row r="49" spans="1:48" ht="5.25" customHeight="1" x14ac:dyDescent="0.15">
      <c r="A49" s="36"/>
      <c r="B49" s="458" t="s">
        <v>55</v>
      </c>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38"/>
      <c r="AQ49" s="38"/>
      <c r="AR49" s="38"/>
      <c r="AS49" s="38"/>
      <c r="AT49" s="36"/>
    </row>
    <row r="50" spans="1:48" x14ac:dyDescent="0.15">
      <c r="A50" s="36"/>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38"/>
      <c r="AQ50" s="38"/>
      <c r="AR50" s="38"/>
      <c r="AS50" s="38"/>
      <c r="AT50" s="36"/>
    </row>
    <row r="51" spans="1:48" ht="12" customHeight="1" x14ac:dyDescent="0.15">
      <c r="A51" s="36"/>
      <c r="B51" s="441" t="s">
        <v>56</v>
      </c>
      <c r="C51" s="442"/>
      <c r="D51" s="459" t="s">
        <v>228</v>
      </c>
      <c r="E51" s="460"/>
      <c r="F51" s="460"/>
      <c r="G51" s="460"/>
      <c r="H51" s="460"/>
      <c r="I51" s="460"/>
      <c r="J51" s="460"/>
      <c r="K51" s="460"/>
      <c r="L51" s="460"/>
      <c r="M51" s="460"/>
      <c r="N51" s="460"/>
      <c r="O51" s="460"/>
      <c r="P51" s="460"/>
      <c r="Q51" s="395" t="s">
        <v>57</v>
      </c>
      <c r="R51" s="395"/>
      <c r="S51" s="463"/>
      <c r="T51" s="406">
        <f>機器費用</f>
        <v>0</v>
      </c>
      <c r="U51" s="407"/>
      <c r="V51" s="407"/>
      <c r="W51" s="407"/>
      <c r="X51" s="407"/>
      <c r="Y51" s="407"/>
      <c r="Z51" s="407"/>
      <c r="AA51" s="407"/>
      <c r="AB51" s="407"/>
      <c r="AC51" s="407"/>
      <c r="AD51" s="412" t="s">
        <v>239</v>
      </c>
      <c r="AE51" s="412"/>
      <c r="AF51" s="412"/>
      <c r="AG51" s="450"/>
      <c r="AH51" s="36"/>
      <c r="AI51" s="36"/>
      <c r="AJ51" s="36"/>
      <c r="AK51" s="36"/>
      <c r="AL51" s="36"/>
      <c r="AM51" s="36"/>
      <c r="AN51" s="36"/>
      <c r="AO51" s="124"/>
      <c r="AP51" s="124"/>
      <c r="AQ51" s="124"/>
      <c r="AR51" s="124"/>
      <c r="AS51" s="124"/>
      <c r="AT51" s="39"/>
      <c r="AU51" s="33"/>
      <c r="AV51" s="119"/>
    </row>
    <row r="52" spans="1:48" ht="6.75" hidden="1" customHeight="1" x14ac:dyDescent="0.15">
      <c r="A52" s="36"/>
      <c r="B52" s="443"/>
      <c r="C52" s="444"/>
      <c r="D52" s="461"/>
      <c r="E52" s="462"/>
      <c r="F52" s="462"/>
      <c r="G52" s="462"/>
      <c r="H52" s="462"/>
      <c r="I52" s="462"/>
      <c r="J52" s="462"/>
      <c r="K52" s="462"/>
      <c r="L52" s="462"/>
      <c r="M52" s="462"/>
      <c r="N52" s="462"/>
      <c r="O52" s="462"/>
      <c r="P52" s="462"/>
      <c r="Q52" s="397"/>
      <c r="R52" s="397"/>
      <c r="S52" s="464"/>
      <c r="T52" s="408"/>
      <c r="U52" s="409"/>
      <c r="V52" s="409"/>
      <c r="W52" s="409"/>
      <c r="X52" s="409"/>
      <c r="Y52" s="409"/>
      <c r="Z52" s="409"/>
      <c r="AA52" s="409"/>
      <c r="AB52" s="409"/>
      <c r="AC52" s="409"/>
      <c r="AD52" s="451"/>
      <c r="AE52" s="451"/>
      <c r="AF52" s="451"/>
      <c r="AG52" s="452"/>
      <c r="AH52" s="36"/>
      <c r="AI52" s="36"/>
      <c r="AJ52" s="36"/>
      <c r="AK52" s="36"/>
      <c r="AL52" s="36"/>
      <c r="AM52" s="36"/>
      <c r="AN52" s="36"/>
      <c r="AO52" s="124"/>
      <c r="AP52" s="124"/>
      <c r="AQ52" s="124"/>
      <c r="AR52" s="124"/>
      <c r="AS52" s="124"/>
      <c r="AT52" s="39"/>
      <c r="AU52" s="33"/>
      <c r="AV52" s="36"/>
    </row>
    <row r="53" spans="1:48" ht="6" customHeight="1" x14ac:dyDescent="0.15">
      <c r="A53" s="36"/>
      <c r="B53" s="443"/>
      <c r="C53" s="444"/>
      <c r="D53" s="461"/>
      <c r="E53" s="462"/>
      <c r="F53" s="462"/>
      <c r="G53" s="462"/>
      <c r="H53" s="462"/>
      <c r="I53" s="462"/>
      <c r="J53" s="462"/>
      <c r="K53" s="462"/>
      <c r="L53" s="462"/>
      <c r="M53" s="462"/>
      <c r="N53" s="462"/>
      <c r="O53" s="462"/>
      <c r="P53" s="462"/>
      <c r="Q53" s="397"/>
      <c r="R53" s="397"/>
      <c r="S53" s="464"/>
      <c r="T53" s="408"/>
      <c r="U53" s="409"/>
      <c r="V53" s="409"/>
      <c r="W53" s="409"/>
      <c r="X53" s="409"/>
      <c r="Y53" s="409"/>
      <c r="Z53" s="409"/>
      <c r="AA53" s="409"/>
      <c r="AB53" s="409"/>
      <c r="AC53" s="409"/>
      <c r="AD53" s="451"/>
      <c r="AE53" s="451"/>
      <c r="AF53" s="451"/>
      <c r="AG53" s="452"/>
      <c r="AH53" s="36"/>
      <c r="AI53" s="36"/>
      <c r="AJ53" s="36"/>
      <c r="AK53" s="36"/>
      <c r="AL53" s="36"/>
      <c r="AM53" s="36"/>
      <c r="AN53" s="36"/>
      <c r="AO53" s="124"/>
      <c r="AP53" s="124"/>
      <c r="AQ53" s="124"/>
      <c r="AR53" s="124"/>
      <c r="AS53" s="124"/>
      <c r="AT53" s="39"/>
      <c r="AU53" s="33"/>
      <c r="AV53" s="36"/>
    </row>
    <row r="54" spans="1:48" ht="6.75" customHeight="1" x14ac:dyDescent="0.15">
      <c r="A54" s="36"/>
      <c r="B54" s="443"/>
      <c r="C54" s="444"/>
      <c r="D54" s="461"/>
      <c r="E54" s="462"/>
      <c r="F54" s="462"/>
      <c r="G54" s="462"/>
      <c r="H54" s="462"/>
      <c r="I54" s="462"/>
      <c r="J54" s="462"/>
      <c r="K54" s="462"/>
      <c r="L54" s="462"/>
      <c r="M54" s="462"/>
      <c r="N54" s="462"/>
      <c r="O54" s="462"/>
      <c r="P54" s="462"/>
      <c r="Q54" s="397"/>
      <c r="R54" s="397"/>
      <c r="S54" s="464"/>
      <c r="T54" s="408"/>
      <c r="U54" s="409"/>
      <c r="V54" s="409"/>
      <c r="W54" s="409"/>
      <c r="X54" s="409"/>
      <c r="Y54" s="409"/>
      <c r="Z54" s="409"/>
      <c r="AA54" s="409"/>
      <c r="AB54" s="409"/>
      <c r="AC54" s="409"/>
      <c r="AD54" s="451"/>
      <c r="AE54" s="451"/>
      <c r="AF54" s="451"/>
      <c r="AG54" s="452"/>
      <c r="AH54" s="36"/>
      <c r="AI54" s="36"/>
      <c r="AJ54" s="36"/>
      <c r="AK54" s="36"/>
      <c r="AL54" s="36"/>
      <c r="AM54" s="36"/>
      <c r="AN54" s="36"/>
      <c r="AO54" s="124"/>
      <c r="AP54" s="124"/>
      <c r="AQ54" s="124"/>
      <c r="AR54" s="124"/>
      <c r="AS54" s="124"/>
      <c r="AT54" s="39"/>
      <c r="AV54" s="36"/>
    </row>
    <row r="55" spans="1:48" ht="6.75" customHeight="1" x14ac:dyDescent="0.15">
      <c r="A55" s="36"/>
      <c r="B55" s="443"/>
      <c r="C55" s="448"/>
      <c r="D55" s="465" t="s">
        <v>240</v>
      </c>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7"/>
      <c r="AS55" s="125"/>
      <c r="AT55" s="39"/>
      <c r="AV55" s="36"/>
    </row>
    <row r="56" spans="1:48" ht="6.75" customHeight="1" x14ac:dyDescent="0.15">
      <c r="A56" s="36"/>
      <c r="B56" s="443"/>
      <c r="C56" s="448"/>
      <c r="D56" s="468"/>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70"/>
      <c r="AS56" s="123"/>
      <c r="AT56" s="39"/>
      <c r="AV56" s="36"/>
    </row>
    <row r="57" spans="1:48" ht="6.75" customHeight="1" x14ac:dyDescent="0.15">
      <c r="A57" s="36"/>
      <c r="B57" s="445"/>
      <c r="C57" s="449"/>
      <c r="D57" s="471"/>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3"/>
      <c r="AS57" s="123"/>
      <c r="AT57" s="39"/>
      <c r="AV57" s="36"/>
    </row>
    <row r="58" spans="1:48" ht="12" customHeight="1" x14ac:dyDescent="0.15">
      <c r="A58" s="36"/>
      <c r="B58" s="441" t="s">
        <v>58</v>
      </c>
      <c r="C58" s="442"/>
      <c r="D58" s="441" t="s">
        <v>59</v>
      </c>
      <c r="E58" s="447"/>
      <c r="F58" s="447"/>
      <c r="G58" s="447"/>
      <c r="H58" s="447"/>
      <c r="I58" s="447"/>
      <c r="J58" s="447"/>
      <c r="K58" s="447"/>
      <c r="L58" s="447"/>
      <c r="M58" s="447"/>
      <c r="N58" s="406">
        <f>平均納品金額</f>
        <v>0</v>
      </c>
      <c r="O58" s="407"/>
      <c r="P58" s="407"/>
      <c r="Q58" s="407"/>
      <c r="R58" s="407"/>
      <c r="S58" s="407"/>
      <c r="T58" s="407"/>
      <c r="U58" s="407"/>
      <c r="V58" s="407"/>
      <c r="W58" s="407"/>
      <c r="X58" s="412" t="s">
        <v>239</v>
      </c>
      <c r="Y58" s="412"/>
      <c r="Z58" s="412"/>
      <c r="AA58" s="450"/>
      <c r="AB58" s="441" t="s">
        <v>60</v>
      </c>
      <c r="AC58" s="447"/>
      <c r="AD58" s="447"/>
      <c r="AE58" s="447"/>
      <c r="AF58" s="447"/>
      <c r="AG58" s="442"/>
      <c r="AH58" s="373">
        <f>納入先</f>
        <v>0</v>
      </c>
      <c r="AI58" s="374"/>
      <c r="AJ58" s="374"/>
      <c r="AK58" s="374"/>
      <c r="AL58" s="374"/>
      <c r="AM58" s="374"/>
      <c r="AN58" s="374"/>
      <c r="AO58" s="374"/>
      <c r="AP58" s="374"/>
      <c r="AQ58" s="374"/>
      <c r="AR58" s="375"/>
      <c r="AS58" s="123"/>
      <c r="AT58" s="36"/>
      <c r="AV58" s="119"/>
    </row>
    <row r="59" spans="1:48" ht="0.75" customHeight="1" x14ac:dyDescent="0.15">
      <c r="A59" s="36"/>
      <c r="B59" s="443"/>
      <c r="C59" s="444"/>
      <c r="D59" s="443"/>
      <c r="E59" s="448"/>
      <c r="F59" s="448"/>
      <c r="G59" s="448"/>
      <c r="H59" s="448"/>
      <c r="I59" s="448"/>
      <c r="J59" s="448"/>
      <c r="K59" s="448"/>
      <c r="L59" s="448"/>
      <c r="M59" s="448"/>
      <c r="N59" s="408"/>
      <c r="O59" s="409"/>
      <c r="P59" s="409"/>
      <c r="Q59" s="409"/>
      <c r="R59" s="409"/>
      <c r="S59" s="409"/>
      <c r="T59" s="409"/>
      <c r="U59" s="409"/>
      <c r="V59" s="409"/>
      <c r="W59" s="409"/>
      <c r="X59" s="451"/>
      <c r="Y59" s="451"/>
      <c r="Z59" s="451"/>
      <c r="AA59" s="452"/>
      <c r="AB59" s="443"/>
      <c r="AC59" s="448"/>
      <c r="AD59" s="448"/>
      <c r="AE59" s="448"/>
      <c r="AF59" s="448"/>
      <c r="AG59" s="444"/>
      <c r="AH59" s="376"/>
      <c r="AI59" s="377"/>
      <c r="AJ59" s="377"/>
      <c r="AK59" s="377"/>
      <c r="AL59" s="377"/>
      <c r="AM59" s="377"/>
      <c r="AN59" s="377"/>
      <c r="AO59" s="377"/>
      <c r="AP59" s="377"/>
      <c r="AQ59" s="377"/>
      <c r="AR59" s="378"/>
      <c r="AS59" s="123"/>
      <c r="AT59" s="36"/>
      <c r="AV59" s="36"/>
    </row>
    <row r="60" spans="1:48" ht="3.75" customHeight="1" x14ac:dyDescent="0.15">
      <c r="A60" s="36"/>
      <c r="B60" s="443"/>
      <c r="C60" s="444"/>
      <c r="D60" s="443"/>
      <c r="E60" s="448"/>
      <c r="F60" s="448"/>
      <c r="G60" s="448"/>
      <c r="H60" s="448"/>
      <c r="I60" s="448"/>
      <c r="J60" s="448"/>
      <c r="K60" s="448"/>
      <c r="L60" s="448"/>
      <c r="M60" s="448"/>
      <c r="N60" s="408"/>
      <c r="O60" s="409"/>
      <c r="P60" s="409"/>
      <c r="Q60" s="409"/>
      <c r="R60" s="409"/>
      <c r="S60" s="409"/>
      <c r="T60" s="409"/>
      <c r="U60" s="409"/>
      <c r="V60" s="409"/>
      <c r="W60" s="409"/>
      <c r="X60" s="451"/>
      <c r="Y60" s="451"/>
      <c r="Z60" s="451"/>
      <c r="AA60" s="452"/>
      <c r="AB60" s="443"/>
      <c r="AC60" s="448"/>
      <c r="AD60" s="448"/>
      <c r="AE60" s="448"/>
      <c r="AF60" s="448"/>
      <c r="AG60" s="444"/>
      <c r="AH60" s="376"/>
      <c r="AI60" s="377"/>
      <c r="AJ60" s="377"/>
      <c r="AK60" s="377"/>
      <c r="AL60" s="377"/>
      <c r="AM60" s="377"/>
      <c r="AN60" s="377"/>
      <c r="AO60" s="377"/>
      <c r="AP60" s="377"/>
      <c r="AQ60" s="377"/>
      <c r="AR60" s="378"/>
      <c r="AS60" s="124"/>
      <c r="AT60" s="36"/>
      <c r="AV60" s="36"/>
    </row>
    <row r="61" spans="1:48" ht="6.75" customHeight="1" x14ac:dyDescent="0.15">
      <c r="A61" s="36"/>
      <c r="B61" s="443"/>
      <c r="C61" s="444"/>
      <c r="D61" s="445"/>
      <c r="E61" s="449"/>
      <c r="F61" s="449"/>
      <c r="G61" s="449"/>
      <c r="H61" s="449"/>
      <c r="I61" s="449"/>
      <c r="J61" s="449"/>
      <c r="K61" s="449"/>
      <c r="L61" s="449"/>
      <c r="M61" s="449"/>
      <c r="N61" s="410"/>
      <c r="O61" s="411"/>
      <c r="P61" s="411"/>
      <c r="Q61" s="411"/>
      <c r="R61" s="411"/>
      <c r="S61" s="411"/>
      <c r="T61" s="411"/>
      <c r="U61" s="411"/>
      <c r="V61" s="411"/>
      <c r="W61" s="411"/>
      <c r="X61" s="453"/>
      <c r="Y61" s="453"/>
      <c r="Z61" s="453"/>
      <c r="AA61" s="454"/>
      <c r="AB61" s="445"/>
      <c r="AC61" s="449"/>
      <c r="AD61" s="449"/>
      <c r="AE61" s="449"/>
      <c r="AF61" s="449"/>
      <c r="AG61" s="446"/>
      <c r="AH61" s="379"/>
      <c r="AI61" s="380"/>
      <c r="AJ61" s="380"/>
      <c r="AK61" s="380"/>
      <c r="AL61" s="380"/>
      <c r="AM61" s="380"/>
      <c r="AN61" s="380"/>
      <c r="AO61" s="380"/>
      <c r="AP61" s="380"/>
      <c r="AQ61" s="380"/>
      <c r="AR61" s="381"/>
      <c r="AS61" s="123"/>
      <c r="AT61" s="36"/>
      <c r="AV61" s="36"/>
    </row>
    <row r="62" spans="1:48" ht="12" customHeight="1" x14ac:dyDescent="0.15">
      <c r="A62" s="36"/>
      <c r="B62" s="445"/>
      <c r="C62" s="446"/>
      <c r="D62" s="382" t="s">
        <v>61</v>
      </c>
      <c r="E62" s="383"/>
      <c r="F62" s="383"/>
      <c r="G62" s="383"/>
      <c r="H62" s="383"/>
      <c r="I62" s="383"/>
      <c r="J62" s="383"/>
      <c r="K62" s="383"/>
      <c r="L62" s="383"/>
      <c r="M62" s="383"/>
      <c r="N62" s="383"/>
      <c r="O62" s="383"/>
      <c r="P62" s="383"/>
      <c r="Q62" s="383"/>
      <c r="R62" s="383"/>
      <c r="S62" s="383"/>
      <c r="T62" s="383"/>
      <c r="U62" s="383"/>
      <c r="V62" s="383"/>
      <c r="W62" s="383"/>
      <c r="X62" s="383"/>
      <c r="Y62" s="383"/>
      <c r="Z62" s="383"/>
      <c r="AA62" s="384"/>
      <c r="AB62" s="439" t="s">
        <v>62</v>
      </c>
      <c r="AC62" s="439"/>
      <c r="AD62" s="439"/>
      <c r="AE62" s="439"/>
      <c r="AF62" s="439"/>
      <c r="AG62" s="439"/>
      <c r="AH62" s="439"/>
      <c r="AI62" s="439"/>
      <c r="AJ62" s="439"/>
      <c r="AK62" s="439"/>
      <c r="AL62" s="439"/>
      <c r="AM62" s="439"/>
      <c r="AN62" s="439"/>
      <c r="AO62" s="439"/>
      <c r="AP62" s="439"/>
      <c r="AQ62" s="439"/>
      <c r="AR62" s="440"/>
      <c r="AS62" s="125"/>
      <c r="AT62" s="39"/>
      <c r="AV62" s="36"/>
    </row>
    <row r="63" spans="1:48" ht="5.25" customHeight="1" x14ac:dyDescent="0.15">
      <c r="A63" s="38"/>
      <c r="B63" s="393" t="s">
        <v>63</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139"/>
      <c r="AA63" s="139"/>
      <c r="AB63" s="139"/>
      <c r="AC63" s="139"/>
      <c r="AD63" s="139"/>
      <c r="AE63" s="139"/>
      <c r="AF63" s="139"/>
      <c r="AG63" s="139"/>
      <c r="AH63" s="139"/>
      <c r="AI63" s="139"/>
      <c r="AJ63" s="139"/>
      <c r="AK63" s="139"/>
      <c r="AL63" s="139"/>
      <c r="AM63" s="139"/>
      <c r="AN63" s="139"/>
      <c r="AO63" s="139"/>
      <c r="AP63" s="139"/>
      <c r="AQ63" s="139"/>
      <c r="AR63" s="139"/>
      <c r="AS63" s="139"/>
      <c r="AT63" s="36"/>
      <c r="AV63" s="36"/>
    </row>
    <row r="64" spans="1:48" x14ac:dyDescent="0.15">
      <c r="A64" s="38"/>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139"/>
      <c r="AA64" s="139"/>
      <c r="AB64" s="139"/>
      <c r="AC64" s="139"/>
      <c r="AD64" s="139"/>
      <c r="AE64" s="139"/>
      <c r="AF64" s="139"/>
      <c r="AG64" s="139"/>
      <c r="AH64" s="139"/>
      <c r="AI64" s="139"/>
      <c r="AJ64" s="139"/>
      <c r="AK64" s="139"/>
      <c r="AL64" s="139"/>
      <c r="AM64" s="139"/>
      <c r="AN64" s="139"/>
      <c r="AO64" s="139"/>
      <c r="AP64" s="139"/>
      <c r="AQ64" s="139"/>
      <c r="AR64" s="139"/>
      <c r="AS64" s="139"/>
      <c r="AT64" s="36"/>
      <c r="AV64" s="36"/>
    </row>
    <row r="65" spans="1:48" ht="12.75" customHeight="1" x14ac:dyDescent="0.15">
      <c r="A65" s="36"/>
      <c r="B65" s="394" t="s">
        <v>229</v>
      </c>
      <c r="C65" s="395"/>
      <c r="D65" s="395"/>
      <c r="E65" s="395"/>
      <c r="F65" s="395"/>
      <c r="G65" s="395"/>
      <c r="H65" s="395"/>
      <c r="I65" s="395"/>
      <c r="J65" s="395"/>
      <c r="K65" s="395"/>
      <c r="L65" s="395"/>
      <c r="M65" s="395"/>
      <c r="N65" s="395"/>
      <c r="O65" s="395"/>
      <c r="P65" s="395"/>
      <c r="Q65" s="400" t="s">
        <v>57</v>
      </c>
      <c r="R65" s="400"/>
      <c r="S65" s="401"/>
      <c r="T65" s="406">
        <f>設定費用</f>
        <v>0</v>
      </c>
      <c r="U65" s="407"/>
      <c r="V65" s="407"/>
      <c r="W65" s="407"/>
      <c r="X65" s="407"/>
      <c r="Y65" s="407"/>
      <c r="Z65" s="407"/>
      <c r="AA65" s="407"/>
      <c r="AB65" s="407"/>
      <c r="AC65" s="407"/>
      <c r="AD65" s="412" t="s">
        <v>64</v>
      </c>
      <c r="AE65" s="413"/>
      <c r="AF65" s="413"/>
      <c r="AG65" s="414"/>
      <c r="AH65" s="36"/>
      <c r="AI65" s="36"/>
      <c r="AJ65" s="36"/>
      <c r="AK65" s="36"/>
      <c r="AL65" s="36"/>
      <c r="AM65" s="36"/>
      <c r="AN65" s="36"/>
      <c r="AO65" s="36"/>
      <c r="AP65" s="36"/>
      <c r="AQ65" s="36"/>
      <c r="AR65" s="36"/>
      <c r="AS65" s="36"/>
      <c r="AT65" s="36"/>
    </row>
    <row r="66" spans="1:48" ht="12.75" hidden="1" customHeight="1" x14ac:dyDescent="0.15">
      <c r="A66" s="36"/>
      <c r="B66" s="396"/>
      <c r="C66" s="397"/>
      <c r="D66" s="397"/>
      <c r="E66" s="397"/>
      <c r="F66" s="397"/>
      <c r="G66" s="397"/>
      <c r="H66" s="397"/>
      <c r="I66" s="397"/>
      <c r="J66" s="397"/>
      <c r="K66" s="397"/>
      <c r="L66" s="397"/>
      <c r="M66" s="397"/>
      <c r="N66" s="397"/>
      <c r="O66" s="397"/>
      <c r="P66" s="397"/>
      <c r="Q66" s="402"/>
      <c r="R66" s="402"/>
      <c r="S66" s="403"/>
      <c r="T66" s="408"/>
      <c r="U66" s="409"/>
      <c r="V66" s="409"/>
      <c r="W66" s="409"/>
      <c r="X66" s="409"/>
      <c r="Y66" s="409"/>
      <c r="Z66" s="409"/>
      <c r="AA66" s="409"/>
      <c r="AB66" s="409"/>
      <c r="AC66" s="409"/>
      <c r="AD66" s="415"/>
      <c r="AE66" s="415"/>
      <c r="AF66" s="415"/>
      <c r="AG66" s="416"/>
      <c r="AH66" s="36"/>
      <c r="AI66" s="36"/>
      <c r="AJ66" s="36"/>
      <c r="AK66" s="36"/>
      <c r="AL66" s="36"/>
      <c r="AM66" s="36"/>
      <c r="AN66" s="36"/>
      <c r="AO66" s="36"/>
      <c r="AP66" s="36"/>
      <c r="AQ66" s="36"/>
      <c r="AR66" s="36"/>
      <c r="AS66" s="36"/>
      <c r="AT66" s="36"/>
    </row>
    <row r="67" spans="1:48" ht="12.75" customHeight="1" x14ac:dyDescent="0.15">
      <c r="A67" s="36"/>
      <c r="B67" s="398"/>
      <c r="C67" s="399"/>
      <c r="D67" s="399"/>
      <c r="E67" s="399"/>
      <c r="F67" s="399"/>
      <c r="G67" s="399"/>
      <c r="H67" s="399"/>
      <c r="I67" s="399"/>
      <c r="J67" s="399"/>
      <c r="K67" s="399"/>
      <c r="L67" s="399"/>
      <c r="M67" s="399"/>
      <c r="N67" s="399"/>
      <c r="O67" s="399"/>
      <c r="P67" s="399"/>
      <c r="Q67" s="404"/>
      <c r="R67" s="404"/>
      <c r="S67" s="405"/>
      <c r="T67" s="410"/>
      <c r="U67" s="411"/>
      <c r="V67" s="411"/>
      <c r="W67" s="411"/>
      <c r="X67" s="411"/>
      <c r="Y67" s="411"/>
      <c r="Z67" s="411"/>
      <c r="AA67" s="411"/>
      <c r="AB67" s="411"/>
      <c r="AC67" s="411"/>
      <c r="AD67" s="417"/>
      <c r="AE67" s="417"/>
      <c r="AF67" s="417"/>
      <c r="AG67" s="418"/>
      <c r="AH67" s="36"/>
      <c r="AI67" s="36"/>
      <c r="AJ67" s="36"/>
      <c r="AK67" s="36"/>
      <c r="AL67" s="36"/>
      <c r="AM67" s="36"/>
      <c r="AN67" s="36"/>
      <c r="AO67" s="36"/>
      <c r="AP67" s="36"/>
      <c r="AQ67" s="36"/>
      <c r="AR67" s="36"/>
      <c r="AS67" s="36"/>
      <c r="AT67" s="36"/>
    </row>
    <row r="68" spans="1:48" ht="21.75" customHeight="1" x14ac:dyDescent="0.15">
      <c r="A68" s="36"/>
      <c r="B68" s="419" t="s">
        <v>231</v>
      </c>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1"/>
      <c r="AH68" s="36"/>
      <c r="AI68" s="36"/>
      <c r="AJ68" s="36"/>
      <c r="AK68" s="36"/>
      <c r="AL68" s="36"/>
      <c r="AM68" s="36"/>
      <c r="AN68" s="36"/>
      <c r="AO68" s="36"/>
      <c r="AP68" s="36"/>
      <c r="AQ68" s="36"/>
      <c r="AR68" s="36"/>
      <c r="AS68" s="36"/>
      <c r="AT68" s="36"/>
    </row>
    <row r="69" spans="1:48" ht="8.25" customHeight="1" x14ac:dyDescent="0.15">
      <c r="A69" s="36"/>
      <c r="B69" s="358" t="s">
        <v>65</v>
      </c>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6"/>
    </row>
    <row r="70" spans="1:48" ht="8.25" customHeight="1" thickBot="1" x14ac:dyDescent="0.2">
      <c r="A70" s="36"/>
      <c r="B70" s="359"/>
      <c r="C70" s="359"/>
      <c r="D70" s="359"/>
      <c r="E70" s="359"/>
      <c r="F70" s="359"/>
      <c r="G70" s="359"/>
      <c r="H70" s="359"/>
      <c r="I70" s="359"/>
      <c r="J70" s="359"/>
      <c r="K70" s="359"/>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6"/>
    </row>
    <row r="71" spans="1:48" x14ac:dyDescent="0.15">
      <c r="A71" s="36"/>
      <c r="B71" s="422" t="s">
        <v>66</v>
      </c>
      <c r="C71" s="423"/>
      <c r="D71" s="423"/>
      <c r="E71" s="423"/>
      <c r="F71" s="423"/>
      <c r="G71" s="423"/>
      <c r="H71" s="423"/>
      <c r="I71" s="423"/>
      <c r="J71" s="423"/>
      <c r="K71" s="423"/>
      <c r="L71" s="428"/>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30"/>
      <c r="AT71" s="36"/>
      <c r="AV71" s="43" t="str">
        <f>IF(L71&lt;&gt;"","OK","必須")</f>
        <v>必須</v>
      </c>
    </row>
    <row r="72" spans="1:48" x14ac:dyDescent="0.15">
      <c r="A72" s="36"/>
      <c r="B72" s="424"/>
      <c r="C72" s="425"/>
      <c r="D72" s="425"/>
      <c r="E72" s="425"/>
      <c r="F72" s="425"/>
      <c r="G72" s="425"/>
      <c r="H72" s="425"/>
      <c r="I72" s="425"/>
      <c r="J72" s="425"/>
      <c r="K72" s="425"/>
      <c r="L72" s="431"/>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3"/>
      <c r="AT72" s="36"/>
    </row>
    <row r="73" spans="1:48" x14ac:dyDescent="0.15">
      <c r="A73" s="36"/>
      <c r="B73" s="424"/>
      <c r="C73" s="425"/>
      <c r="D73" s="425"/>
      <c r="E73" s="425"/>
      <c r="F73" s="425"/>
      <c r="G73" s="425"/>
      <c r="H73" s="425"/>
      <c r="I73" s="425"/>
      <c r="J73" s="425"/>
      <c r="K73" s="425"/>
      <c r="L73" s="431"/>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3"/>
      <c r="AT73" s="36"/>
    </row>
    <row r="74" spans="1:48" ht="12.75" thickBot="1" x14ac:dyDescent="0.2">
      <c r="A74" s="36"/>
      <c r="B74" s="426"/>
      <c r="C74" s="427"/>
      <c r="D74" s="427"/>
      <c r="E74" s="427"/>
      <c r="F74" s="427"/>
      <c r="G74" s="427"/>
      <c r="H74" s="427"/>
      <c r="I74" s="427"/>
      <c r="J74" s="427"/>
      <c r="K74" s="427"/>
      <c r="L74" s="434"/>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6"/>
      <c r="AT74" s="36"/>
    </row>
    <row r="75" spans="1:48" x14ac:dyDescent="0.15">
      <c r="A75" s="36"/>
      <c r="B75" s="437" t="s">
        <v>67</v>
      </c>
      <c r="C75" s="437"/>
      <c r="D75" s="437"/>
      <c r="E75" s="437"/>
      <c r="F75" s="437"/>
      <c r="G75" s="437"/>
      <c r="H75" s="437"/>
      <c r="I75" s="437"/>
      <c r="J75" s="437"/>
      <c r="K75" s="437"/>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36"/>
    </row>
    <row r="76" spans="1:48" x14ac:dyDescent="0.15">
      <c r="A76" s="36"/>
      <c r="B76" s="358"/>
      <c r="C76" s="358"/>
      <c r="D76" s="358"/>
      <c r="E76" s="358"/>
      <c r="F76" s="358"/>
      <c r="G76" s="358"/>
      <c r="H76" s="358"/>
      <c r="I76" s="358"/>
      <c r="J76" s="358"/>
      <c r="K76" s="358"/>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row>
    <row r="77" spans="1:48" ht="12" customHeight="1" x14ac:dyDescent="0.15">
      <c r="A77" s="387" t="s">
        <v>31</v>
      </c>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9"/>
    </row>
    <row r="78" spans="1:48" ht="12" customHeight="1" x14ac:dyDescent="0.15">
      <c r="A78" s="390"/>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2"/>
    </row>
    <row r="79" spans="1:48" x14ac:dyDescent="0.15">
      <c r="A79" s="374" t="str">
        <f>"【"&amp;製品カテゴリ&amp;"】"</f>
        <v>【測量機（自動視準・自動追尾機能付き高機能トータルステーション）】</v>
      </c>
      <c r="B79" s="374"/>
      <c r="C79" s="374"/>
      <c r="D79" s="374"/>
      <c r="E79" s="374"/>
      <c r="F79" s="374"/>
      <c r="G79" s="374"/>
      <c r="H79" s="374"/>
      <c r="I79" s="374"/>
      <c r="J79" s="374"/>
      <c r="K79" s="374"/>
      <c r="L79" s="374"/>
      <c r="M79" s="374"/>
      <c r="N79" s="374"/>
      <c r="O79" s="374"/>
      <c r="P79" s="374"/>
      <c r="Q79" s="374"/>
      <c r="R79" s="374"/>
      <c r="S79" s="374"/>
      <c r="T79" s="374"/>
      <c r="U79" s="374"/>
      <c r="V79" s="374"/>
      <c r="W79" s="374"/>
      <c r="X79" s="36"/>
      <c r="Y79" s="36"/>
      <c r="Z79" s="36"/>
      <c r="AA79" s="36"/>
      <c r="AB79" s="36"/>
      <c r="AC79" s="36"/>
      <c r="AD79" s="36"/>
      <c r="AE79" s="36"/>
      <c r="AF79" s="36"/>
      <c r="AG79" s="36"/>
      <c r="AH79" s="36"/>
      <c r="AI79" s="36"/>
      <c r="AJ79" s="36"/>
      <c r="AK79" s="36"/>
      <c r="AL79" s="36"/>
      <c r="AM79" s="36"/>
      <c r="AN79" s="36"/>
      <c r="AO79" s="36"/>
      <c r="AP79" s="385" t="s">
        <v>68</v>
      </c>
      <c r="AQ79" s="385"/>
      <c r="AR79" s="385"/>
      <c r="AS79" s="385"/>
      <c r="AT79" s="385"/>
    </row>
    <row r="80" spans="1:48" x14ac:dyDescent="0.15">
      <c r="A80" s="377"/>
      <c r="B80" s="377"/>
      <c r="C80" s="377"/>
      <c r="D80" s="377"/>
      <c r="E80" s="377"/>
      <c r="F80" s="377"/>
      <c r="G80" s="377"/>
      <c r="H80" s="377"/>
      <c r="I80" s="377"/>
      <c r="J80" s="377"/>
      <c r="K80" s="377"/>
      <c r="L80" s="377"/>
      <c r="M80" s="377"/>
      <c r="N80" s="377"/>
      <c r="O80" s="377"/>
      <c r="P80" s="377"/>
      <c r="Q80" s="377"/>
      <c r="R80" s="377"/>
      <c r="S80" s="377"/>
      <c r="T80" s="377"/>
      <c r="U80" s="377"/>
      <c r="V80" s="377"/>
      <c r="W80" s="377"/>
      <c r="X80" s="36"/>
      <c r="Y80" s="36"/>
      <c r="Z80" s="36"/>
      <c r="AA80" s="36"/>
      <c r="AB80" s="36"/>
      <c r="AC80" s="36"/>
      <c r="AD80" s="36"/>
      <c r="AE80" s="36"/>
      <c r="AF80" s="36"/>
      <c r="AG80" s="36"/>
      <c r="AH80" s="36"/>
      <c r="AI80" s="36"/>
      <c r="AJ80" s="36"/>
      <c r="AK80" s="36"/>
      <c r="AL80" s="36"/>
      <c r="AM80" s="36"/>
      <c r="AN80" s="36"/>
      <c r="AO80" s="36"/>
      <c r="AP80" s="386"/>
      <c r="AQ80" s="386"/>
      <c r="AR80" s="386"/>
      <c r="AS80" s="386"/>
      <c r="AT80" s="386"/>
    </row>
    <row r="81" spans="1:48" x14ac:dyDescent="0.15">
      <c r="A81" s="36"/>
      <c r="B81" s="358" t="s">
        <v>69</v>
      </c>
      <c r="C81" s="358"/>
      <c r="D81" s="358"/>
      <c r="E81" s="358"/>
      <c r="F81" s="358"/>
      <c r="G81" s="358"/>
      <c r="H81" s="358"/>
      <c r="I81" s="358"/>
      <c r="J81" s="358"/>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row>
    <row r="82" spans="1:48" x14ac:dyDescent="0.15">
      <c r="A82" s="36"/>
      <c r="B82" s="358"/>
      <c r="C82" s="358"/>
      <c r="D82" s="358"/>
      <c r="E82" s="358"/>
      <c r="F82" s="358"/>
      <c r="G82" s="358"/>
      <c r="H82" s="358"/>
      <c r="I82" s="358"/>
      <c r="J82" s="358"/>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row>
    <row r="83" spans="1:48" x14ac:dyDescent="0.15">
      <c r="A83" s="36"/>
      <c r="B83" s="358" t="s">
        <v>70</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6"/>
    </row>
    <row r="84" spans="1:48" ht="12.75" thickBot="1" x14ac:dyDescent="0.2">
      <c r="A84" s="36"/>
      <c r="B84" s="359"/>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59"/>
      <c r="AL84" s="359"/>
      <c r="AM84" s="359"/>
      <c r="AN84" s="359"/>
      <c r="AO84" s="359"/>
      <c r="AP84" s="359"/>
      <c r="AQ84" s="359"/>
      <c r="AR84" s="358"/>
      <c r="AS84" s="358"/>
      <c r="AT84" s="36"/>
    </row>
    <row r="85" spans="1:48" ht="12" customHeight="1" x14ac:dyDescent="0.15">
      <c r="A85" s="36"/>
      <c r="B85" s="360" t="s">
        <v>381</v>
      </c>
      <c r="C85" s="361"/>
      <c r="D85" s="361"/>
      <c r="E85" s="361"/>
      <c r="F85" s="361"/>
      <c r="G85" s="361"/>
      <c r="H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L85" s="361"/>
      <c r="AM85" s="361"/>
      <c r="AN85" s="361"/>
      <c r="AO85" s="361"/>
      <c r="AP85" s="361"/>
      <c r="AQ85" s="362"/>
      <c r="AR85" s="367"/>
      <c r="AS85" s="368"/>
      <c r="AT85" s="36"/>
    </row>
    <row r="86" spans="1:48" ht="12" customHeight="1" x14ac:dyDescent="0.15">
      <c r="A86" s="36"/>
      <c r="B86" s="363"/>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58"/>
      <c r="AL86" s="358"/>
      <c r="AM86" s="358"/>
      <c r="AN86" s="358"/>
      <c r="AO86" s="358"/>
      <c r="AP86" s="358"/>
      <c r="AQ86" s="364"/>
      <c r="AR86" s="369"/>
      <c r="AS86" s="370"/>
      <c r="AT86" s="36"/>
      <c r="AU86" s="45" t="b">
        <v>0</v>
      </c>
      <c r="AV86" s="43" t="str">
        <f>IF(AU86,"OK","必須")</f>
        <v>必須</v>
      </c>
    </row>
    <row r="87" spans="1:48" ht="12" customHeight="1" x14ac:dyDescent="0.15">
      <c r="A87" s="36"/>
      <c r="B87" s="363"/>
      <c r="C87" s="358"/>
      <c r="D87" s="358"/>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8"/>
      <c r="AO87" s="358"/>
      <c r="AP87" s="358"/>
      <c r="AQ87" s="364"/>
      <c r="AR87" s="369"/>
      <c r="AS87" s="370"/>
      <c r="AT87" s="36"/>
      <c r="AU87" s="45"/>
    </row>
    <row r="88" spans="1:48" ht="12" customHeight="1" x14ac:dyDescent="0.15">
      <c r="A88" s="36"/>
      <c r="B88" s="363"/>
      <c r="C88" s="358"/>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358"/>
      <c r="AH88" s="358"/>
      <c r="AI88" s="358"/>
      <c r="AJ88" s="358"/>
      <c r="AK88" s="358"/>
      <c r="AL88" s="358"/>
      <c r="AM88" s="358"/>
      <c r="AN88" s="358"/>
      <c r="AO88" s="358"/>
      <c r="AP88" s="358"/>
      <c r="AQ88" s="364"/>
      <c r="AR88" s="369"/>
      <c r="AS88" s="370"/>
      <c r="AT88" s="36"/>
      <c r="AU88" s="45"/>
    </row>
    <row r="89" spans="1:48" ht="12" customHeight="1" x14ac:dyDescent="0.15">
      <c r="A89" s="36"/>
      <c r="B89" s="363"/>
      <c r="C89" s="35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64"/>
      <c r="AR89" s="369"/>
      <c r="AS89" s="370"/>
      <c r="AT89" s="36"/>
      <c r="AU89" s="45"/>
    </row>
    <row r="90" spans="1:48" ht="12" customHeight="1" thickBot="1" x14ac:dyDescent="0.2">
      <c r="A90" s="36"/>
      <c r="B90" s="365"/>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66"/>
      <c r="AR90" s="371"/>
      <c r="AS90" s="372"/>
      <c r="AT90" s="36"/>
      <c r="AU90" s="45"/>
      <c r="AV90" s="43"/>
    </row>
    <row r="91" spans="1:48"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row>
    <row r="92" spans="1:48"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row>
    <row r="93" spans="1:48"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row>
    <row r="94" spans="1:48"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row>
    <row r="95" spans="1:48" x14ac:dyDescent="0.1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row>
    <row r="96" spans="1:48"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row>
    <row r="97" spans="1:58"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row>
    <row r="98" spans="1:58"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row>
    <row r="99" spans="1:58"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row>
    <row r="100" spans="1:58"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row>
    <row r="101" spans="1:58" x14ac:dyDescent="0.1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row>
    <row r="102" spans="1:58" x14ac:dyDescent="0.1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row>
    <row r="103" spans="1:58" x14ac:dyDescent="0.1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row>
    <row r="104" spans="1:58"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row>
    <row r="105" spans="1:58"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row>
    <row r="106" spans="1:58"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row>
    <row r="107" spans="1:58" x14ac:dyDescent="0.1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row>
    <row r="108" spans="1:58" x14ac:dyDescent="0.1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row>
    <row r="109" spans="1:58" x14ac:dyDescent="0.1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row>
    <row r="110" spans="1:58"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row>
    <row r="111" spans="1:58"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row>
    <row r="112" spans="1:58"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row>
    <row r="113" spans="1:58"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row>
    <row r="114" spans="1:58" x14ac:dyDescent="0.1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row>
    <row r="115" spans="1:58" x14ac:dyDescent="0.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row>
    <row r="116" spans="1:58" x14ac:dyDescent="0.1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row>
    <row r="117" spans="1:58"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row>
    <row r="118" spans="1:58" x14ac:dyDescent="0.1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row>
    <row r="119" spans="1:58" x14ac:dyDescent="0.1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row>
    <row r="120" spans="1:58" x14ac:dyDescent="0.1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row>
    <row r="121" spans="1:58" x14ac:dyDescent="0.1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row>
    <row r="122" spans="1:58" x14ac:dyDescent="0.1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row>
    <row r="123" spans="1:58" x14ac:dyDescent="0.1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row>
    <row r="124" spans="1:58" x14ac:dyDescent="0.1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row>
    <row r="125" spans="1:58" x14ac:dyDescent="0.1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row>
    <row r="126" spans="1:58" x14ac:dyDescent="0.1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row>
    <row r="127" spans="1:58" x14ac:dyDescent="0.1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row>
    <row r="128" spans="1:58" x14ac:dyDescent="0.1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row>
    <row r="129" spans="1:58" x14ac:dyDescent="0.1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row>
    <row r="130" spans="1:58" x14ac:dyDescent="0.1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row>
    <row r="131" spans="1:58" x14ac:dyDescent="0.1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row>
    <row r="132" spans="1:58"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row>
    <row r="133" spans="1:58" x14ac:dyDescent="0.1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row>
    <row r="134" spans="1:58" x14ac:dyDescent="0.1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row>
    <row r="135" spans="1:58" x14ac:dyDescent="0.1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row>
    <row r="136" spans="1:58" x14ac:dyDescent="0.1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row>
    <row r="137" spans="1:58" x14ac:dyDescent="0.1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row>
    <row r="138" spans="1:58" x14ac:dyDescent="0.1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row>
    <row r="139" spans="1:58" x14ac:dyDescent="0.1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row>
    <row r="140" spans="1:58" x14ac:dyDescent="0.1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row>
    <row r="141" spans="1:58" x14ac:dyDescent="0.1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row>
    <row r="142" spans="1:58" x14ac:dyDescent="0.1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row>
    <row r="143" spans="1:58" x14ac:dyDescent="0.1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row>
    <row r="144" spans="1:58" x14ac:dyDescent="0.1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row>
    <row r="145" spans="1:58" x14ac:dyDescent="0.1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row>
    <row r="146" spans="1:58" x14ac:dyDescent="0.1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row>
    <row r="147" spans="1:58" x14ac:dyDescent="0.1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row>
    <row r="148" spans="1:58" x14ac:dyDescent="0.1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row>
    <row r="149" spans="1:58" x14ac:dyDescent="0.1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row>
    <row r="150" spans="1:58" x14ac:dyDescent="0.1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row>
    <row r="151" spans="1:58" x14ac:dyDescent="0.1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row>
    <row r="152" spans="1:58" x14ac:dyDescent="0.1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row>
    <row r="153" spans="1:58" x14ac:dyDescent="0.1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row>
    <row r="154" spans="1:58" x14ac:dyDescent="0.1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row>
  </sheetData>
  <sheetProtection algorithmName="SHA-512" hashValue="VhEIg71WtFyM+sBchBV1gjMRYHKgvkDjF80xeU1Uq971gAvoHknVLWuG6+iljayPQh+M5rNPvE3T2ObDBk9+ZA==" saltValue="JmjYT7/u3MWlvSapobX03w==" spinCount="100000" sheet="1" objects="1" scenarios="1"/>
  <mergeCells count="86">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4:I45"/>
    <mergeCell ref="J44:AS45"/>
    <mergeCell ref="B47:K48"/>
    <mergeCell ref="B49:AO50"/>
    <mergeCell ref="B51:C57"/>
    <mergeCell ref="D51:P54"/>
    <mergeCell ref="Q51:S54"/>
    <mergeCell ref="T51:AC54"/>
    <mergeCell ref="AD51:AG54"/>
    <mergeCell ref="D55:AR57"/>
    <mergeCell ref="B71:K74"/>
    <mergeCell ref="L71:AS74"/>
    <mergeCell ref="B75:AS75"/>
    <mergeCell ref="B76:K76"/>
    <mergeCell ref="AB62:AR62"/>
    <mergeCell ref="B58:C62"/>
    <mergeCell ref="D58:M61"/>
    <mergeCell ref="N58:W61"/>
    <mergeCell ref="X58:AA61"/>
    <mergeCell ref="AB58:AG61"/>
    <mergeCell ref="B83:AS84"/>
    <mergeCell ref="B85:AQ90"/>
    <mergeCell ref="AR85:AS90"/>
    <mergeCell ref="AH58:AR61"/>
    <mergeCell ref="D62:AA62"/>
    <mergeCell ref="A79:W80"/>
    <mergeCell ref="AP79:AT80"/>
    <mergeCell ref="B81:J82"/>
    <mergeCell ref="A77:AT78"/>
    <mergeCell ref="B63:Y64"/>
    <mergeCell ref="B65:P67"/>
    <mergeCell ref="Q65:S67"/>
    <mergeCell ref="T65:AC67"/>
    <mergeCell ref="AD65:AG67"/>
    <mergeCell ref="B68:AG68"/>
    <mergeCell ref="B69:AS70"/>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71:AS74">
    <cfRule type="expression" dxfId="36" priority="23">
      <formula>$AV$71="OK"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5">
    <cfRule type="expression" dxfId="25"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86</xdr:row>
                    <xdr:rowOff>9525</xdr:rowOff>
                  </from>
                  <to>
                    <xdr:col>44</xdr:col>
                    <xdr:colOff>76200</xdr:colOff>
                    <xdr:row>87</xdr:row>
                    <xdr:rowOff>95250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2F7B-AAA6-41EE-ACC9-F2D7F0FC1C96}">
  <sheetPr>
    <tabColor rgb="FFFFFF00"/>
  </sheetPr>
  <dimension ref="A1:U499"/>
  <sheetViews>
    <sheetView showGridLines="0" zoomScaleNormal="100" workbookViewId="0"/>
  </sheetViews>
  <sheetFormatPr defaultColWidth="9" defaultRowHeight="17.25" customHeight="1" outlineLevelRow="1" x14ac:dyDescent="0.15"/>
  <cols>
    <col min="1" max="1" width="4.375" style="255" customWidth="1"/>
    <col min="2" max="3" width="5.75" style="255" customWidth="1"/>
    <col min="4" max="4" width="24.875" style="255" customWidth="1"/>
    <col min="5" max="5" width="9" style="255"/>
    <col min="6" max="7" width="18" style="255" customWidth="1"/>
    <col min="8" max="8" width="25" style="255" customWidth="1"/>
    <col min="9" max="9" width="4.375" style="255" customWidth="1"/>
    <col min="10" max="10" width="6.5" style="255" customWidth="1"/>
    <col min="11" max="11" width="12.5" style="255" bestFit="1" customWidth="1"/>
    <col min="12" max="12" width="25.25" style="255" customWidth="1"/>
    <col min="13" max="13" width="6.625" style="255" customWidth="1"/>
    <col min="14" max="14" width="22.625" style="255" customWidth="1"/>
    <col min="15" max="15" width="5.25" style="255" bestFit="1" customWidth="1"/>
    <col min="16" max="16" width="19.5" style="255" customWidth="1"/>
    <col min="17" max="17" width="23.75" style="255" customWidth="1"/>
    <col min="18" max="18" width="9.25" style="255" hidden="1" customWidth="1"/>
    <col min="19" max="19" width="9" style="255" hidden="1" customWidth="1"/>
    <col min="20" max="20" width="21.375" style="255" customWidth="1"/>
    <col min="21" max="21" width="21.625" style="255" customWidth="1"/>
    <col min="22" max="16384" width="9" style="255"/>
  </cols>
  <sheetData>
    <row r="1" spans="1:21" customFormat="1" ht="24" x14ac:dyDescent="0.15">
      <c r="A1" s="24" t="s">
        <v>335</v>
      </c>
      <c r="I1" t="s">
        <v>336</v>
      </c>
    </row>
    <row r="2" spans="1:21" customFormat="1" ht="13.5" x14ac:dyDescent="0.15">
      <c r="A2" t="s">
        <v>337</v>
      </c>
      <c r="I2" s="581" t="s">
        <v>189</v>
      </c>
      <c r="J2" s="581"/>
      <c r="K2" t="s">
        <v>338</v>
      </c>
    </row>
    <row r="3" spans="1:21" customFormat="1" ht="13.5" x14ac:dyDescent="0.15">
      <c r="A3" t="s">
        <v>339</v>
      </c>
      <c r="I3" s="582" t="s">
        <v>340</v>
      </c>
      <c r="J3" s="582"/>
      <c r="K3" t="s">
        <v>341</v>
      </c>
    </row>
    <row r="4" spans="1:21" customFormat="1" ht="4.5" customHeight="1" x14ac:dyDescent="0.15"/>
    <row r="5" spans="1:21" customFormat="1" ht="18.75" x14ac:dyDescent="0.15">
      <c r="B5" s="223" t="s">
        <v>342</v>
      </c>
      <c r="C5" s="224"/>
      <c r="D5" s="224"/>
      <c r="E5" s="224"/>
      <c r="F5" s="224"/>
      <c r="G5" s="225"/>
    </row>
    <row r="6" spans="1:21" customFormat="1" ht="13.5" x14ac:dyDescent="0.15">
      <c r="B6" s="226" t="s">
        <v>343</v>
      </c>
      <c r="C6" s="226"/>
      <c r="D6" s="226"/>
      <c r="E6" s="226"/>
      <c r="F6" s="226"/>
      <c r="G6" s="227"/>
    </row>
    <row r="7" spans="1:21" customFormat="1" ht="4.5" customHeight="1" x14ac:dyDescent="0.15"/>
    <row r="8" spans="1:21" customFormat="1" ht="33" customHeight="1" thickBot="1" x14ac:dyDescent="0.2">
      <c r="B8" s="348" t="s">
        <v>77</v>
      </c>
      <c r="C8" s="348"/>
      <c r="D8" s="222">
        <f>製造事業者名</f>
        <v>0</v>
      </c>
      <c r="E8" s="348" t="s">
        <v>71</v>
      </c>
      <c r="F8" s="348"/>
      <c r="G8" s="583">
        <f>製品名称</f>
        <v>0</v>
      </c>
      <c r="H8" s="583"/>
    </row>
    <row r="9" spans="1:21" customFormat="1" ht="33" customHeight="1" thickBot="1" x14ac:dyDescent="0.2">
      <c r="B9" s="348" t="s">
        <v>344</v>
      </c>
      <c r="C9" s="348"/>
      <c r="D9" s="228"/>
      <c r="E9" s="584" t="s">
        <v>72</v>
      </c>
      <c r="F9" s="348"/>
      <c r="G9" s="583">
        <f>型番</f>
        <v>0</v>
      </c>
      <c r="H9" s="583"/>
    </row>
    <row r="10" spans="1:21" customFormat="1" ht="5.25" customHeight="1" x14ac:dyDescent="0.15"/>
    <row r="11" spans="1:21" customFormat="1" ht="18.75" x14ac:dyDescent="0.15">
      <c r="B11" s="223" t="s">
        <v>345</v>
      </c>
      <c r="C11" s="224"/>
      <c r="D11" s="224"/>
      <c r="E11" s="224"/>
      <c r="F11" s="224"/>
      <c r="G11" s="224"/>
      <c r="H11" s="225"/>
      <c r="J11" s="223" t="s">
        <v>383</v>
      </c>
      <c r="K11" s="224"/>
      <c r="L11" s="224"/>
      <c r="M11" s="224"/>
      <c r="N11" s="224"/>
      <c r="O11" s="224"/>
      <c r="P11" s="224"/>
      <c r="Q11" s="224"/>
      <c r="R11" s="224"/>
      <c r="S11" s="224"/>
      <c r="T11" s="224"/>
      <c r="U11" s="225"/>
    </row>
    <row r="12" spans="1:21" customFormat="1" ht="13.5" x14ac:dyDescent="0.15">
      <c r="B12" s="224" t="s">
        <v>346</v>
      </c>
      <c r="C12" s="224"/>
      <c r="D12" s="224"/>
      <c r="E12" s="224"/>
      <c r="F12" s="224"/>
      <c r="G12" s="224"/>
      <c r="H12" s="225"/>
      <c r="J12" s="229" t="s">
        <v>347</v>
      </c>
      <c r="K12" s="229"/>
      <c r="L12" s="224"/>
      <c r="M12" s="224"/>
      <c r="N12" s="224"/>
      <c r="O12" s="224"/>
      <c r="P12" s="224"/>
      <c r="Q12" s="224"/>
      <c r="R12" s="224"/>
      <c r="S12" s="224"/>
      <c r="T12" s="224"/>
      <c r="U12" s="225"/>
    </row>
    <row r="13" spans="1:21" customFormat="1" ht="13.5" x14ac:dyDescent="0.15">
      <c r="B13" s="230" t="s">
        <v>382</v>
      </c>
      <c r="C13" s="230"/>
      <c r="D13" s="230"/>
      <c r="E13" s="230"/>
      <c r="F13" s="230"/>
      <c r="G13" s="230"/>
      <c r="H13" s="231"/>
      <c r="J13" s="229" t="s">
        <v>348</v>
      </c>
      <c r="K13" s="229"/>
      <c r="L13" s="224"/>
      <c r="M13" s="224"/>
      <c r="N13" s="224"/>
      <c r="O13" s="224"/>
      <c r="P13" s="224"/>
      <c r="Q13" s="224"/>
      <c r="R13" s="224"/>
      <c r="S13" s="224"/>
      <c r="T13" s="224"/>
      <c r="U13" s="225"/>
    </row>
    <row r="14" spans="1:21" customFormat="1" ht="13.5" x14ac:dyDescent="0.15">
      <c r="G14" s="145"/>
      <c r="H14" s="145"/>
      <c r="J14" s="224" t="s">
        <v>349</v>
      </c>
      <c r="K14" s="224"/>
      <c r="L14" s="224"/>
      <c r="M14" s="224"/>
      <c r="N14" s="224"/>
      <c r="O14" s="224"/>
      <c r="P14" s="224"/>
      <c r="Q14" s="224"/>
      <c r="R14" s="224"/>
      <c r="S14" s="224"/>
      <c r="T14" s="224"/>
      <c r="U14" s="225"/>
    </row>
    <row r="15" spans="1:21" customFormat="1" ht="13.5" x14ac:dyDescent="0.15">
      <c r="G15" s="145"/>
      <c r="H15" s="145"/>
      <c r="J15" s="232" t="s">
        <v>350</v>
      </c>
      <c r="K15" s="233"/>
      <c r="L15" s="233"/>
      <c r="M15" s="233"/>
      <c r="N15" s="233"/>
      <c r="O15" s="233"/>
      <c r="P15" s="233"/>
      <c r="Q15" s="233"/>
      <c r="R15" s="233"/>
      <c r="S15" s="233"/>
      <c r="T15" s="233"/>
      <c r="U15" s="234"/>
    </row>
    <row r="16" spans="1:21" customFormat="1" ht="4.5" customHeight="1" thickBot="1" x14ac:dyDescent="0.2">
      <c r="G16" s="145"/>
      <c r="H16" s="145"/>
    </row>
    <row r="17" spans="2:21" customFormat="1" ht="18" thickBot="1" x14ac:dyDescent="0.2">
      <c r="D17" s="235"/>
      <c r="E17" s="235"/>
      <c r="F17" s="236" t="s">
        <v>351</v>
      </c>
      <c r="G17" s="237">
        <f>SUM(G19:G29)</f>
        <v>0</v>
      </c>
      <c r="H17" s="238" t="s">
        <v>352</v>
      </c>
      <c r="J17" s="580" t="str">
        <f>IF(COUNTA(L19:L141)&gt;=3,"","納品実績の入力件数が不足しています")</f>
        <v>納品実績の入力件数が不足しています</v>
      </c>
      <c r="K17" s="580"/>
      <c r="L17" s="580"/>
      <c r="M17" s="239"/>
      <c r="Q17" s="145" t="s">
        <v>353</v>
      </c>
    </row>
    <row r="18" spans="2:21" customFormat="1" ht="27" x14ac:dyDescent="0.15">
      <c r="B18" s="240" t="s">
        <v>73</v>
      </c>
      <c r="C18" s="240" t="s">
        <v>354</v>
      </c>
      <c r="D18" s="241" t="s">
        <v>355</v>
      </c>
      <c r="E18" s="241" t="s">
        <v>356</v>
      </c>
      <c r="F18" s="242" t="s">
        <v>357</v>
      </c>
      <c r="G18" s="242" t="s">
        <v>358</v>
      </c>
      <c r="H18" s="243" t="s">
        <v>359</v>
      </c>
      <c r="I18" s="244"/>
      <c r="J18" s="245" t="s">
        <v>73</v>
      </c>
      <c r="K18" s="246" t="s">
        <v>74</v>
      </c>
      <c r="L18" s="246" t="s">
        <v>75</v>
      </c>
      <c r="M18" s="246" t="s">
        <v>354</v>
      </c>
      <c r="N18" s="247" t="s">
        <v>355</v>
      </c>
      <c r="O18" s="246" t="s">
        <v>356</v>
      </c>
      <c r="P18" s="248" t="s">
        <v>360</v>
      </c>
      <c r="Q18" s="248" t="s">
        <v>361</v>
      </c>
      <c r="R18" s="249" t="s">
        <v>362</v>
      </c>
      <c r="S18" s="250" t="s">
        <v>363</v>
      </c>
      <c r="T18" s="235" t="s">
        <v>364</v>
      </c>
      <c r="U18" s="243" t="s">
        <v>365</v>
      </c>
    </row>
    <row r="19" spans="2:21" ht="17.25" customHeight="1" x14ac:dyDescent="0.15">
      <c r="B19" s="251">
        <v>1</v>
      </c>
      <c r="C19" s="251" t="s">
        <v>366</v>
      </c>
      <c r="D19" s="252"/>
      <c r="E19" s="252"/>
      <c r="F19" s="253" t="str">
        <f t="shared" ref="F19:F34" si="0">IF(D19&lt;&gt;"",ROUNDDOWN(SUMIF($N$19:$P$498,D19,$P$19:$P$498)/COUNTIF($N$19:$N$498,D19),0),"")</f>
        <v/>
      </c>
      <c r="G19" s="253" t="str">
        <f t="shared" ref="G19:G34" si="1">IF(D19&lt;&gt;"",E19*F19,"")</f>
        <v/>
      </c>
      <c r="H19" s="254" t="str">
        <f>IF(D19&lt;&gt;"",IF(E19&lt;&gt;"","OK","数量が未入力です"),"製品の明細が未入力です")</f>
        <v>製品の明細が未入力です</v>
      </c>
      <c r="J19" s="256">
        <v>1</v>
      </c>
      <c r="K19" s="257"/>
      <c r="L19" s="257"/>
      <c r="M19" s="258" t="s">
        <v>366</v>
      </c>
      <c r="N19" s="259" t="str">
        <f>IF(K19&amp;L19&lt;&gt;"",IF($D$19&lt;&gt;"",$D$19,""),"")</f>
        <v/>
      </c>
      <c r="O19" s="257"/>
      <c r="P19" s="260" t="str">
        <f t="shared" ref="P19:P82" si="2">IF(ISERROR(ROUND(Q19/O19,0)),"",ROUND(Q19/O19,0))</f>
        <v/>
      </c>
      <c r="Q19" s="261"/>
      <c r="R19" s="255">
        <f>IF(N19&lt;&gt;"",VLOOKUP(N19,$D$19:$E$34,2,FALSE),0)</f>
        <v>0</v>
      </c>
      <c r="S19" s="255">
        <f>IF($E$19&gt;0,IF(MOD(O19,$E$19)=0,O19/$E$19,-1),-1)</f>
        <v>-1</v>
      </c>
      <c r="T19" s="262" t="str">
        <f>IF(N19&lt;&gt;"",IF(O19&lt;&gt;"",IF(S19&gt;0,"OK","数量が不足しています"),"数量が未入力です"),"")</f>
        <v/>
      </c>
      <c r="U19" s="262" t="str">
        <f t="shared" ref="U19:U82" si="3">IF(O19&lt;&gt;"",IF(Q19&lt;&gt;"","OK","未入力です"),"")</f>
        <v/>
      </c>
    </row>
    <row r="20" spans="2:21" ht="17.25" customHeight="1" x14ac:dyDescent="0.15">
      <c r="B20" s="263">
        <v>1</v>
      </c>
      <c r="C20" s="263" t="s">
        <v>367</v>
      </c>
      <c r="D20" s="264"/>
      <c r="E20" s="264"/>
      <c r="F20" s="265" t="str">
        <f t="shared" si="0"/>
        <v/>
      </c>
      <c r="G20" s="265" t="str">
        <f t="shared" si="1"/>
        <v/>
      </c>
      <c r="H20" s="254" t="str">
        <f t="shared" ref="H20:H34" si="4">IF(D20&lt;&gt;"",IF(E20&lt;&gt;"","OK","数量が未入力です"),"")</f>
        <v/>
      </c>
      <c r="J20" s="266"/>
      <c r="K20" s="267"/>
      <c r="L20" s="267"/>
      <c r="M20" s="268" t="s">
        <v>367</v>
      </c>
      <c r="N20" s="269" t="str">
        <f>IF(K19&amp;L19&lt;&gt;"",IF($D$20&lt;&gt;"",$D$20,""),"")</f>
        <v/>
      </c>
      <c r="O20" s="270"/>
      <c r="P20" s="271" t="str">
        <f t="shared" si="2"/>
        <v/>
      </c>
      <c r="Q20" s="272"/>
      <c r="R20" s="255">
        <f t="shared" ref="R20:R50" si="5">IF(N20&lt;&gt;"",VLOOKUP(N20,$D$19:$E$34,2,FALSE),0)</f>
        <v>0</v>
      </c>
      <c r="S20" s="255">
        <f>IF(S19&gt;0,R20*S19,99999999)</f>
        <v>99999999</v>
      </c>
      <c r="T20" s="262" t="str">
        <f>IF(N20&lt;&gt;"",IF(O20&lt;&gt;"",IF(O20&gt;=S20,"OK","数量が不足しています"),"数量が未入力です"),"")</f>
        <v/>
      </c>
      <c r="U20" s="262" t="str">
        <f t="shared" si="3"/>
        <v/>
      </c>
    </row>
    <row r="21" spans="2:21" ht="17.25" customHeight="1" x14ac:dyDescent="0.15">
      <c r="B21" s="273">
        <v>2</v>
      </c>
      <c r="C21" s="273" t="s">
        <v>367</v>
      </c>
      <c r="D21" s="274"/>
      <c r="E21" s="274"/>
      <c r="F21" s="275" t="str">
        <f t="shared" si="0"/>
        <v/>
      </c>
      <c r="G21" s="275" t="str">
        <f t="shared" si="1"/>
        <v/>
      </c>
      <c r="H21" s="254" t="str">
        <f t="shared" si="4"/>
        <v/>
      </c>
      <c r="J21" s="266"/>
      <c r="K21" s="267"/>
      <c r="L21" s="267"/>
      <c r="M21" s="268" t="s">
        <v>367</v>
      </c>
      <c r="N21" s="269" t="str">
        <f>IF(K19&amp;L19&lt;&gt;"",IF($D$21&lt;&gt;"",$D$21,""),"")</f>
        <v/>
      </c>
      <c r="O21" s="270"/>
      <c r="P21" s="271" t="str">
        <f t="shared" si="2"/>
        <v/>
      </c>
      <c r="Q21" s="272"/>
      <c r="R21" s="255">
        <f t="shared" si="5"/>
        <v>0</v>
      </c>
      <c r="S21" s="255">
        <f>IF(S19&gt;0,R21*S19,99999999)</f>
        <v>99999999</v>
      </c>
      <c r="T21" s="262" t="str">
        <f t="shared" ref="T21:T82" si="6">IF(N21&lt;&gt;"",IF(O21&lt;&gt;"",IF(O21&gt;=S21,"OK","数量が不足しています"),"数量が未入力です"),"")</f>
        <v/>
      </c>
      <c r="U21" s="262" t="str">
        <f t="shared" si="3"/>
        <v/>
      </c>
    </row>
    <row r="22" spans="2:21" ht="17.25" customHeight="1" x14ac:dyDescent="0.15">
      <c r="B22" s="273">
        <v>3</v>
      </c>
      <c r="C22" s="273" t="s">
        <v>367</v>
      </c>
      <c r="D22" s="274"/>
      <c r="E22" s="274"/>
      <c r="F22" s="275" t="str">
        <f t="shared" si="0"/>
        <v/>
      </c>
      <c r="G22" s="275" t="str">
        <f t="shared" si="1"/>
        <v/>
      </c>
      <c r="H22" s="254" t="str">
        <f t="shared" si="4"/>
        <v/>
      </c>
      <c r="J22" s="266"/>
      <c r="K22" s="267"/>
      <c r="L22" s="267"/>
      <c r="M22" s="268" t="s">
        <v>367</v>
      </c>
      <c r="N22" s="269" t="str">
        <f>IF(K19&amp;L19&lt;&gt;"",IF($D$22&lt;&gt;"",$D$22,""),"")</f>
        <v/>
      </c>
      <c r="O22" s="270"/>
      <c r="P22" s="271" t="str">
        <f t="shared" si="2"/>
        <v/>
      </c>
      <c r="Q22" s="272"/>
      <c r="R22" s="255">
        <f t="shared" si="5"/>
        <v>0</v>
      </c>
      <c r="S22" s="255">
        <f>IF(S19&gt;0,R22*S19,99999999)</f>
        <v>99999999</v>
      </c>
      <c r="T22" s="262" t="str">
        <f t="shared" si="6"/>
        <v/>
      </c>
      <c r="U22" s="262" t="str">
        <f t="shared" si="3"/>
        <v/>
      </c>
    </row>
    <row r="23" spans="2:21" ht="17.25" customHeight="1" x14ac:dyDescent="0.15">
      <c r="B23" s="273">
        <v>4</v>
      </c>
      <c r="C23" s="273" t="s">
        <v>367</v>
      </c>
      <c r="D23" s="274"/>
      <c r="E23" s="274"/>
      <c r="F23" s="269" t="str">
        <f t="shared" si="0"/>
        <v/>
      </c>
      <c r="G23" s="275" t="str">
        <f t="shared" si="1"/>
        <v/>
      </c>
      <c r="H23" s="254" t="str">
        <f t="shared" si="4"/>
        <v/>
      </c>
      <c r="J23" s="266"/>
      <c r="K23" s="267"/>
      <c r="L23" s="267"/>
      <c r="M23" s="268" t="s">
        <v>367</v>
      </c>
      <c r="N23" s="269" t="str">
        <f>IF(K19&amp;L19&lt;&gt;"",IF($D$23&lt;&gt;"",$D$23,""),"")</f>
        <v/>
      </c>
      <c r="O23" s="270"/>
      <c r="P23" s="271" t="str">
        <f t="shared" si="2"/>
        <v/>
      </c>
      <c r="Q23" s="272"/>
      <c r="R23" s="255">
        <f t="shared" si="5"/>
        <v>0</v>
      </c>
      <c r="S23" s="255">
        <f>IF(S19&gt;0,R23*S19,99999999)</f>
        <v>99999999</v>
      </c>
      <c r="T23" s="262" t="str">
        <f t="shared" si="6"/>
        <v/>
      </c>
      <c r="U23" s="262" t="str">
        <f t="shared" si="3"/>
        <v/>
      </c>
    </row>
    <row r="24" spans="2:21" ht="17.25" customHeight="1" x14ac:dyDescent="0.15">
      <c r="B24" s="273">
        <v>5</v>
      </c>
      <c r="C24" s="273" t="s">
        <v>367</v>
      </c>
      <c r="D24" s="274"/>
      <c r="E24" s="274"/>
      <c r="F24" s="269" t="str">
        <f t="shared" si="0"/>
        <v/>
      </c>
      <c r="G24" s="269" t="str">
        <f t="shared" si="1"/>
        <v/>
      </c>
      <c r="H24" s="254" t="str">
        <f t="shared" si="4"/>
        <v/>
      </c>
      <c r="J24" s="266"/>
      <c r="K24" s="267"/>
      <c r="L24" s="267"/>
      <c r="M24" s="268" t="s">
        <v>367</v>
      </c>
      <c r="N24" s="269" t="str">
        <f>IF(K19&amp;L19&lt;&gt;"",IF($D$24&lt;&gt;"",$D$24,""),"")</f>
        <v/>
      </c>
      <c r="O24" s="270"/>
      <c r="P24" s="271" t="str">
        <f t="shared" si="2"/>
        <v/>
      </c>
      <c r="Q24" s="272"/>
      <c r="R24" s="255">
        <f t="shared" si="5"/>
        <v>0</v>
      </c>
      <c r="S24" s="255">
        <f>IF(S19&gt;0,R24*S19,99999999)</f>
        <v>99999999</v>
      </c>
      <c r="T24" s="262" t="str">
        <f t="shared" si="6"/>
        <v/>
      </c>
      <c r="U24" s="262" t="str">
        <f t="shared" si="3"/>
        <v/>
      </c>
    </row>
    <row r="25" spans="2:21" ht="17.25" customHeight="1" x14ac:dyDescent="0.15">
      <c r="B25" s="273">
        <v>6</v>
      </c>
      <c r="C25" s="273" t="s">
        <v>367</v>
      </c>
      <c r="D25" s="274"/>
      <c r="E25" s="274"/>
      <c r="F25" s="269" t="str">
        <f t="shared" si="0"/>
        <v/>
      </c>
      <c r="G25" s="269" t="str">
        <f t="shared" si="1"/>
        <v/>
      </c>
      <c r="H25" s="254" t="str">
        <f t="shared" si="4"/>
        <v/>
      </c>
      <c r="J25" s="266"/>
      <c r="K25" s="267"/>
      <c r="L25" s="267"/>
      <c r="M25" s="268" t="s">
        <v>367</v>
      </c>
      <c r="N25" s="269" t="str">
        <f>IF(K19&amp;L19&lt;&gt;"",IF($D$25&lt;&gt;"",$D$25,""),"")</f>
        <v/>
      </c>
      <c r="O25" s="270"/>
      <c r="P25" s="271" t="str">
        <f t="shared" si="2"/>
        <v/>
      </c>
      <c r="Q25" s="272"/>
      <c r="R25" s="255">
        <f t="shared" si="5"/>
        <v>0</v>
      </c>
      <c r="S25" s="255">
        <f>IF(S19&gt;0,R25*S19,99999999)</f>
        <v>99999999</v>
      </c>
      <c r="T25" s="262" t="str">
        <f t="shared" si="6"/>
        <v/>
      </c>
      <c r="U25" s="262" t="str">
        <f t="shared" si="3"/>
        <v/>
      </c>
    </row>
    <row r="26" spans="2:21" ht="17.25" customHeight="1" x14ac:dyDescent="0.15">
      <c r="B26" s="273">
        <v>7</v>
      </c>
      <c r="C26" s="273" t="s">
        <v>367</v>
      </c>
      <c r="D26" s="274"/>
      <c r="E26" s="274"/>
      <c r="F26" s="269" t="str">
        <f t="shared" si="0"/>
        <v/>
      </c>
      <c r="G26" s="269" t="str">
        <f t="shared" si="1"/>
        <v/>
      </c>
      <c r="H26" s="254" t="str">
        <f t="shared" si="4"/>
        <v/>
      </c>
      <c r="J26" s="266"/>
      <c r="K26" s="267"/>
      <c r="L26" s="267"/>
      <c r="M26" s="268" t="s">
        <v>367</v>
      </c>
      <c r="N26" s="269" t="str">
        <f>IF(K19&amp;L19&lt;&gt;"",IF($D$26&lt;&gt;"",$D$26,""),"")</f>
        <v/>
      </c>
      <c r="O26" s="270"/>
      <c r="P26" s="271" t="str">
        <f t="shared" si="2"/>
        <v/>
      </c>
      <c r="Q26" s="272"/>
      <c r="R26" s="255">
        <f t="shared" si="5"/>
        <v>0</v>
      </c>
      <c r="S26" s="255">
        <f>IF(S19&gt;0,R26*S19,99999999)</f>
        <v>99999999</v>
      </c>
      <c r="T26" s="262" t="str">
        <f t="shared" si="6"/>
        <v/>
      </c>
      <c r="U26" s="262" t="str">
        <f t="shared" si="3"/>
        <v/>
      </c>
    </row>
    <row r="27" spans="2:21" ht="17.25" customHeight="1" x14ac:dyDescent="0.15">
      <c r="B27" s="273">
        <v>8</v>
      </c>
      <c r="C27" s="273" t="s">
        <v>367</v>
      </c>
      <c r="D27" s="274"/>
      <c r="E27" s="274"/>
      <c r="F27" s="269" t="str">
        <f t="shared" si="0"/>
        <v/>
      </c>
      <c r="G27" s="269" t="str">
        <f t="shared" si="1"/>
        <v/>
      </c>
      <c r="H27" s="254" t="str">
        <f t="shared" si="4"/>
        <v/>
      </c>
      <c r="J27" s="266"/>
      <c r="K27" s="267"/>
      <c r="L27" s="267"/>
      <c r="M27" s="268" t="s">
        <v>367</v>
      </c>
      <c r="N27" s="269" t="str">
        <f>IF(K19&amp;L19&lt;&gt;"",IF($D$27&lt;&gt;"",$D$27,""),"")</f>
        <v/>
      </c>
      <c r="O27" s="270"/>
      <c r="P27" s="271" t="str">
        <f t="shared" si="2"/>
        <v/>
      </c>
      <c r="Q27" s="272"/>
      <c r="R27" s="255">
        <f t="shared" si="5"/>
        <v>0</v>
      </c>
      <c r="S27" s="255">
        <f>IF(S19&gt;0,R27*S19,99999999)</f>
        <v>99999999</v>
      </c>
      <c r="T27" s="262" t="str">
        <f t="shared" si="6"/>
        <v/>
      </c>
      <c r="U27" s="262" t="str">
        <f t="shared" si="3"/>
        <v/>
      </c>
    </row>
    <row r="28" spans="2:21" ht="17.25" customHeight="1" x14ac:dyDescent="0.15">
      <c r="B28" s="273">
        <v>9</v>
      </c>
      <c r="C28" s="273" t="s">
        <v>367</v>
      </c>
      <c r="D28" s="274"/>
      <c r="E28" s="274"/>
      <c r="F28" s="269" t="str">
        <f t="shared" si="0"/>
        <v/>
      </c>
      <c r="G28" s="269" t="str">
        <f t="shared" si="1"/>
        <v/>
      </c>
      <c r="H28" s="254" t="str">
        <f t="shared" si="4"/>
        <v/>
      </c>
      <c r="J28" s="266"/>
      <c r="K28" s="267"/>
      <c r="L28" s="267"/>
      <c r="M28" s="268" t="s">
        <v>367</v>
      </c>
      <c r="N28" s="269" t="str">
        <f>IF(K19&amp;L19&lt;&gt;"",IF($D$28&lt;&gt;"",$D$28,""),"")</f>
        <v/>
      </c>
      <c r="O28" s="270"/>
      <c r="P28" s="271" t="str">
        <f t="shared" si="2"/>
        <v/>
      </c>
      <c r="Q28" s="272"/>
      <c r="R28" s="255">
        <f t="shared" si="5"/>
        <v>0</v>
      </c>
      <c r="S28" s="255">
        <f>IF(S19&gt;0,R28*S19,99999999)</f>
        <v>99999999</v>
      </c>
      <c r="T28" s="262" t="str">
        <f t="shared" si="6"/>
        <v/>
      </c>
      <c r="U28" s="262" t="str">
        <f t="shared" si="3"/>
        <v/>
      </c>
    </row>
    <row r="29" spans="2:21" ht="17.25" customHeight="1" x14ac:dyDescent="0.15">
      <c r="B29" s="273">
        <v>10</v>
      </c>
      <c r="C29" s="273" t="s">
        <v>367</v>
      </c>
      <c r="D29" s="274"/>
      <c r="E29" s="274"/>
      <c r="F29" s="269" t="str">
        <f t="shared" si="0"/>
        <v/>
      </c>
      <c r="G29" s="269" t="str">
        <f t="shared" si="1"/>
        <v/>
      </c>
      <c r="H29" s="254" t="str">
        <f t="shared" si="4"/>
        <v/>
      </c>
      <c r="J29" s="266"/>
      <c r="K29" s="267"/>
      <c r="L29" s="267"/>
      <c r="M29" s="268" t="s">
        <v>367</v>
      </c>
      <c r="N29" s="269" t="str">
        <f>IF(K19&amp;L19&lt;&gt;"",IF($D$29&lt;&gt;"",$D$29,""),"")</f>
        <v/>
      </c>
      <c r="O29" s="270"/>
      <c r="P29" s="271" t="str">
        <f t="shared" si="2"/>
        <v/>
      </c>
      <c r="Q29" s="272"/>
      <c r="R29" s="255">
        <f t="shared" si="5"/>
        <v>0</v>
      </c>
      <c r="S29" s="255">
        <f>IF(S19&gt;0,R29*S19,99999999)</f>
        <v>99999999</v>
      </c>
      <c r="T29" s="262" t="str">
        <f t="shared" si="6"/>
        <v/>
      </c>
      <c r="U29" s="262" t="str">
        <f t="shared" si="3"/>
        <v/>
      </c>
    </row>
    <row r="30" spans="2:21" ht="17.25" hidden="1" customHeight="1" outlineLevel="1" x14ac:dyDescent="0.15">
      <c r="B30" s="273">
        <v>11</v>
      </c>
      <c r="C30" s="273" t="s">
        <v>367</v>
      </c>
      <c r="D30" s="274"/>
      <c r="E30" s="274"/>
      <c r="F30" s="269" t="str">
        <f t="shared" si="0"/>
        <v/>
      </c>
      <c r="G30" s="269" t="str">
        <f t="shared" si="1"/>
        <v/>
      </c>
      <c r="H30" s="254" t="str">
        <f t="shared" si="4"/>
        <v/>
      </c>
      <c r="J30" s="266"/>
      <c r="K30" s="267"/>
      <c r="L30" s="267"/>
      <c r="M30" s="268" t="s">
        <v>367</v>
      </c>
      <c r="N30" s="269" t="str">
        <f>IF(K19&amp;L19&lt;&gt;"",IF($D$30&lt;&gt;"",$D$30,""),"")</f>
        <v/>
      </c>
      <c r="O30" s="270"/>
      <c r="P30" s="271" t="str">
        <f t="shared" si="2"/>
        <v/>
      </c>
      <c r="Q30" s="272"/>
      <c r="R30" s="255">
        <f t="shared" si="5"/>
        <v>0</v>
      </c>
      <c r="S30" s="255">
        <f>IF(S19&gt;0,R30*S19,99999999)</f>
        <v>99999999</v>
      </c>
      <c r="T30" s="262" t="str">
        <f t="shared" si="6"/>
        <v/>
      </c>
      <c r="U30" s="262" t="str">
        <f t="shared" si="3"/>
        <v/>
      </c>
    </row>
    <row r="31" spans="2:21" ht="17.25" hidden="1" customHeight="1" outlineLevel="1" x14ac:dyDescent="0.15">
      <c r="B31" s="273">
        <v>12</v>
      </c>
      <c r="C31" s="273" t="s">
        <v>367</v>
      </c>
      <c r="D31" s="274"/>
      <c r="E31" s="274"/>
      <c r="F31" s="269" t="str">
        <f t="shared" si="0"/>
        <v/>
      </c>
      <c r="G31" s="269" t="str">
        <f t="shared" si="1"/>
        <v/>
      </c>
      <c r="H31" s="254" t="str">
        <f t="shared" si="4"/>
        <v/>
      </c>
      <c r="J31" s="266"/>
      <c r="K31" s="267"/>
      <c r="L31" s="267"/>
      <c r="M31" s="268" t="s">
        <v>367</v>
      </c>
      <c r="N31" s="269" t="str">
        <f>IF(K19&amp;L19&lt;&gt;"",IF($D$31&lt;&gt;"",$D$31,""),"")</f>
        <v/>
      </c>
      <c r="O31" s="270"/>
      <c r="P31" s="271" t="str">
        <f t="shared" si="2"/>
        <v/>
      </c>
      <c r="Q31" s="272"/>
      <c r="R31" s="255">
        <f t="shared" si="5"/>
        <v>0</v>
      </c>
      <c r="S31" s="255">
        <f>IF(S19&gt;0,R31*S19,99999999)</f>
        <v>99999999</v>
      </c>
      <c r="T31" s="262" t="str">
        <f t="shared" si="6"/>
        <v/>
      </c>
      <c r="U31" s="262" t="str">
        <f t="shared" si="3"/>
        <v/>
      </c>
    </row>
    <row r="32" spans="2:21" ht="17.25" hidden="1" customHeight="1" outlineLevel="1" x14ac:dyDescent="0.15">
      <c r="B32" s="273">
        <v>13</v>
      </c>
      <c r="C32" s="273" t="s">
        <v>367</v>
      </c>
      <c r="D32" s="274"/>
      <c r="E32" s="274"/>
      <c r="F32" s="269" t="str">
        <f t="shared" si="0"/>
        <v/>
      </c>
      <c r="G32" s="269" t="str">
        <f t="shared" si="1"/>
        <v/>
      </c>
      <c r="H32" s="254" t="str">
        <f t="shared" si="4"/>
        <v/>
      </c>
      <c r="J32" s="266"/>
      <c r="K32" s="267"/>
      <c r="L32" s="267"/>
      <c r="M32" s="268" t="s">
        <v>367</v>
      </c>
      <c r="N32" s="269" t="str">
        <f>IF(K19&amp;L19&lt;&gt;"",IF($D$32&lt;&gt;"",$D$32,""),"")</f>
        <v/>
      </c>
      <c r="O32" s="270"/>
      <c r="P32" s="271" t="str">
        <f t="shared" si="2"/>
        <v/>
      </c>
      <c r="Q32" s="272"/>
      <c r="R32" s="255">
        <f t="shared" si="5"/>
        <v>0</v>
      </c>
      <c r="S32" s="255">
        <f>IF(S19&gt;0,R32*S19,99999999)</f>
        <v>99999999</v>
      </c>
      <c r="T32" s="262" t="str">
        <f t="shared" si="6"/>
        <v/>
      </c>
      <c r="U32" s="262" t="str">
        <f t="shared" si="3"/>
        <v/>
      </c>
    </row>
    <row r="33" spans="2:21" ht="17.25" hidden="1" customHeight="1" outlineLevel="1" x14ac:dyDescent="0.15">
      <c r="B33" s="273">
        <v>14</v>
      </c>
      <c r="C33" s="273" t="s">
        <v>367</v>
      </c>
      <c r="D33" s="274"/>
      <c r="E33" s="274"/>
      <c r="F33" s="269" t="str">
        <f t="shared" si="0"/>
        <v/>
      </c>
      <c r="G33" s="269" t="str">
        <f t="shared" si="1"/>
        <v/>
      </c>
      <c r="H33" s="254" t="str">
        <f t="shared" si="4"/>
        <v/>
      </c>
      <c r="J33" s="266"/>
      <c r="K33" s="267"/>
      <c r="L33" s="267"/>
      <c r="M33" s="268" t="s">
        <v>367</v>
      </c>
      <c r="N33" s="269" t="str">
        <f>IF(K19&amp;L19&lt;&gt;"",IF($D$33&lt;&gt;"",$D$33,""),"")</f>
        <v/>
      </c>
      <c r="O33" s="270"/>
      <c r="P33" s="271" t="str">
        <f t="shared" si="2"/>
        <v/>
      </c>
      <c r="Q33" s="272"/>
      <c r="R33" s="255">
        <f t="shared" si="5"/>
        <v>0</v>
      </c>
      <c r="S33" s="255">
        <f>IF(S19&gt;0,R33*S19,99999999)</f>
        <v>99999999</v>
      </c>
      <c r="T33" s="262" t="str">
        <f t="shared" si="6"/>
        <v/>
      </c>
      <c r="U33" s="262" t="str">
        <f t="shared" si="3"/>
        <v/>
      </c>
    </row>
    <row r="34" spans="2:21" ht="17.25" hidden="1" customHeight="1" outlineLevel="1" x14ac:dyDescent="0.15">
      <c r="B34" s="276">
        <v>15</v>
      </c>
      <c r="C34" s="276" t="s">
        <v>367</v>
      </c>
      <c r="D34" s="277"/>
      <c r="E34" s="277"/>
      <c r="F34" s="278" t="str">
        <f t="shared" si="0"/>
        <v/>
      </c>
      <c r="G34" s="278" t="str">
        <f t="shared" si="1"/>
        <v/>
      </c>
      <c r="H34" s="254" t="str">
        <f t="shared" si="4"/>
        <v/>
      </c>
      <c r="J34" s="279"/>
      <c r="K34" s="280"/>
      <c r="L34" s="280"/>
      <c r="M34" s="281" t="s">
        <v>367</v>
      </c>
      <c r="N34" s="278" t="str">
        <f>IF(K19&amp;L19&lt;&gt;"",IF($D$34&lt;&gt;"",$D$34,""),"")</f>
        <v/>
      </c>
      <c r="O34" s="282"/>
      <c r="P34" s="271" t="str">
        <f t="shared" si="2"/>
        <v/>
      </c>
      <c r="Q34" s="283"/>
      <c r="R34" s="255">
        <f t="shared" si="5"/>
        <v>0</v>
      </c>
      <c r="S34" s="255">
        <f>IF(S19&gt;0,R34*S19,99999999)</f>
        <v>99999999</v>
      </c>
      <c r="T34" s="262" t="str">
        <f t="shared" si="6"/>
        <v/>
      </c>
      <c r="U34" s="262" t="str">
        <f t="shared" si="3"/>
        <v/>
      </c>
    </row>
    <row r="35" spans="2:21" ht="17.25" customHeight="1" collapsed="1" x14ac:dyDescent="0.15">
      <c r="B35" s="284"/>
      <c r="C35" s="284"/>
      <c r="D35" s="284"/>
      <c r="E35" s="284"/>
      <c r="F35" s="284"/>
      <c r="G35" s="284"/>
      <c r="J35" s="256">
        <v>2</v>
      </c>
      <c r="K35" s="257"/>
      <c r="L35" s="257"/>
      <c r="M35" s="258" t="s">
        <v>366</v>
      </c>
      <c r="N35" s="259" t="str">
        <f>IF(K35&amp;L35&lt;&gt;"",IF($D$19&lt;&gt;"",$D$19,""),"")</f>
        <v/>
      </c>
      <c r="O35" s="257"/>
      <c r="P35" s="260" t="str">
        <f t="shared" si="2"/>
        <v/>
      </c>
      <c r="Q35" s="261"/>
      <c r="R35" s="255">
        <f t="shared" si="5"/>
        <v>0</v>
      </c>
      <c r="S35" s="255">
        <f>IF($E$19&gt;0,IF(MOD(O35,$E$19)=0,O35/$E$19,-1),-1)</f>
        <v>-1</v>
      </c>
      <c r="T35" s="262" t="str">
        <f>IF(N35&lt;&gt;"",IF(O35&lt;&gt;"",IF(S35&gt;0,"OK","数量が不足しています"),"数量が未入力です"),"")</f>
        <v/>
      </c>
      <c r="U35" s="262" t="str">
        <f t="shared" si="3"/>
        <v/>
      </c>
    </row>
    <row r="36" spans="2:21" ht="17.25" customHeight="1" x14ac:dyDescent="0.15">
      <c r="J36" s="266"/>
      <c r="K36" s="267"/>
      <c r="L36" s="267"/>
      <c r="M36" s="268" t="s">
        <v>367</v>
      </c>
      <c r="N36" s="269" t="str">
        <f>IF(K35&amp;L35&lt;&gt;"",IF($D$20&lt;&gt;"",$D$20,""),"")</f>
        <v/>
      </c>
      <c r="O36" s="270"/>
      <c r="P36" s="271" t="str">
        <f t="shared" si="2"/>
        <v/>
      </c>
      <c r="Q36" s="272"/>
      <c r="R36" s="255">
        <f t="shared" si="5"/>
        <v>0</v>
      </c>
      <c r="S36" s="255">
        <f>IF(S35&gt;0,R36*S35,99999999)</f>
        <v>99999999</v>
      </c>
      <c r="T36" s="262" t="str">
        <f t="shared" si="6"/>
        <v/>
      </c>
      <c r="U36" s="262" t="str">
        <f t="shared" si="3"/>
        <v/>
      </c>
    </row>
    <row r="37" spans="2:21" ht="17.25" customHeight="1" x14ac:dyDescent="0.15">
      <c r="J37" s="266"/>
      <c r="K37" s="267"/>
      <c r="L37" s="267"/>
      <c r="M37" s="268" t="s">
        <v>367</v>
      </c>
      <c r="N37" s="269" t="str">
        <f>IF(K35&amp;L35&lt;&gt;"",IF($D$21&lt;&gt;"",$D$21,""),"")</f>
        <v/>
      </c>
      <c r="O37" s="270"/>
      <c r="P37" s="271" t="str">
        <f t="shared" si="2"/>
        <v/>
      </c>
      <c r="Q37" s="272"/>
      <c r="R37" s="255">
        <f t="shared" si="5"/>
        <v>0</v>
      </c>
      <c r="S37" s="255">
        <f>IF(S35&gt;0,R37*S35,99999999)</f>
        <v>99999999</v>
      </c>
      <c r="T37" s="262" t="str">
        <f t="shared" si="6"/>
        <v/>
      </c>
      <c r="U37" s="262" t="str">
        <f t="shared" si="3"/>
        <v/>
      </c>
    </row>
    <row r="38" spans="2:21" ht="17.25" customHeight="1" x14ac:dyDescent="0.15">
      <c r="J38" s="266"/>
      <c r="K38" s="267"/>
      <c r="L38" s="267"/>
      <c r="M38" s="268" t="s">
        <v>367</v>
      </c>
      <c r="N38" s="269" t="str">
        <f>IF(K35&amp;L35&lt;&gt;"",IF($D$22&lt;&gt;"",$D$22,""),"")</f>
        <v/>
      </c>
      <c r="O38" s="270"/>
      <c r="P38" s="271" t="str">
        <f t="shared" si="2"/>
        <v/>
      </c>
      <c r="Q38" s="272"/>
      <c r="R38" s="255">
        <f t="shared" si="5"/>
        <v>0</v>
      </c>
      <c r="S38" s="255">
        <f>IF(S35&gt;0,R38*S35,99999999)</f>
        <v>99999999</v>
      </c>
      <c r="T38" s="262" t="str">
        <f t="shared" si="6"/>
        <v/>
      </c>
      <c r="U38" s="262" t="str">
        <f t="shared" si="3"/>
        <v/>
      </c>
    </row>
    <row r="39" spans="2:21" ht="17.25" customHeight="1" x14ac:dyDescent="0.15">
      <c r="J39" s="266"/>
      <c r="K39" s="267"/>
      <c r="L39" s="267"/>
      <c r="M39" s="268" t="s">
        <v>367</v>
      </c>
      <c r="N39" s="269" t="str">
        <f>IF(K35&amp;L35&lt;&gt;"",IF($D$23&lt;&gt;"",$D$23,""),"")</f>
        <v/>
      </c>
      <c r="O39" s="270"/>
      <c r="P39" s="271" t="str">
        <f t="shared" si="2"/>
        <v/>
      </c>
      <c r="Q39" s="272"/>
      <c r="R39" s="255">
        <f t="shared" si="5"/>
        <v>0</v>
      </c>
      <c r="S39" s="255">
        <f>IF(S35&gt;0,R39*S35,99999999)</f>
        <v>99999999</v>
      </c>
      <c r="T39" s="262" t="str">
        <f t="shared" si="6"/>
        <v/>
      </c>
      <c r="U39" s="262" t="str">
        <f t="shared" si="3"/>
        <v/>
      </c>
    </row>
    <row r="40" spans="2:21" ht="17.25" customHeight="1" x14ac:dyDescent="0.15">
      <c r="J40" s="266"/>
      <c r="K40" s="267"/>
      <c r="L40" s="267"/>
      <c r="M40" s="268" t="s">
        <v>367</v>
      </c>
      <c r="N40" s="269" t="str">
        <f>IF(K35&amp;L35&lt;&gt;"",IF($D$24&lt;&gt;"",$D$24,""),"")</f>
        <v/>
      </c>
      <c r="O40" s="270"/>
      <c r="P40" s="271" t="str">
        <f t="shared" si="2"/>
        <v/>
      </c>
      <c r="Q40" s="272"/>
      <c r="R40" s="255">
        <f t="shared" si="5"/>
        <v>0</v>
      </c>
      <c r="S40" s="255">
        <f>IF(S35&gt;0,R40*S35,99999999)</f>
        <v>99999999</v>
      </c>
      <c r="T40" s="262" t="str">
        <f t="shared" si="6"/>
        <v/>
      </c>
      <c r="U40" s="262" t="str">
        <f t="shared" si="3"/>
        <v/>
      </c>
    </row>
    <row r="41" spans="2:21" ht="17.25" customHeight="1" x14ac:dyDescent="0.15">
      <c r="J41" s="266"/>
      <c r="K41" s="267"/>
      <c r="L41" s="267"/>
      <c r="M41" s="268" t="s">
        <v>367</v>
      </c>
      <c r="N41" s="269" t="str">
        <f>IF(K35&amp;L35&lt;&gt;"",IF($D$25&lt;&gt;"",$D$25,""),"")</f>
        <v/>
      </c>
      <c r="O41" s="270"/>
      <c r="P41" s="271" t="str">
        <f t="shared" si="2"/>
        <v/>
      </c>
      <c r="Q41" s="272"/>
      <c r="R41" s="255">
        <f t="shared" si="5"/>
        <v>0</v>
      </c>
      <c r="S41" s="255">
        <f>IF(S35&gt;0,R41*S35,99999999)</f>
        <v>99999999</v>
      </c>
      <c r="T41" s="262" t="str">
        <f t="shared" si="6"/>
        <v/>
      </c>
      <c r="U41" s="262" t="str">
        <f t="shared" si="3"/>
        <v/>
      </c>
    </row>
    <row r="42" spans="2:21" ht="17.25" customHeight="1" x14ac:dyDescent="0.15">
      <c r="J42" s="266"/>
      <c r="K42" s="267"/>
      <c r="L42" s="267"/>
      <c r="M42" s="268" t="s">
        <v>367</v>
      </c>
      <c r="N42" s="269" t="str">
        <f>IF(K35&amp;L35&lt;&gt;"",IF($D$26&lt;&gt;"",$D$26,""),"")</f>
        <v/>
      </c>
      <c r="O42" s="270"/>
      <c r="P42" s="271" t="str">
        <f t="shared" si="2"/>
        <v/>
      </c>
      <c r="Q42" s="272"/>
      <c r="R42" s="255">
        <f t="shared" si="5"/>
        <v>0</v>
      </c>
      <c r="S42" s="255">
        <f>IF(S35&gt;0,R42*S35,99999999)</f>
        <v>99999999</v>
      </c>
      <c r="T42" s="262" t="str">
        <f t="shared" si="6"/>
        <v/>
      </c>
      <c r="U42" s="262" t="str">
        <f t="shared" si="3"/>
        <v/>
      </c>
    </row>
    <row r="43" spans="2:21" ht="17.25" customHeight="1" x14ac:dyDescent="0.15">
      <c r="J43" s="266"/>
      <c r="K43" s="267"/>
      <c r="L43" s="267"/>
      <c r="M43" s="268" t="s">
        <v>367</v>
      </c>
      <c r="N43" s="269" t="str">
        <f>IF(K35&amp;L35&lt;&gt;"",IF($D$27&lt;&gt;"",$D$27,""),"")</f>
        <v/>
      </c>
      <c r="O43" s="270"/>
      <c r="P43" s="271" t="str">
        <f t="shared" si="2"/>
        <v/>
      </c>
      <c r="Q43" s="272"/>
      <c r="R43" s="255">
        <f t="shared" si="5"/>
        <v>0</v>
      </c>
      <c r="S43" s="255">
        <f>IF(S35&gt;0,R43*S35,99999999)</f>
        <v>99999999</v>
      </c>
      <c r="T43" s="262" t="str">
        <f t="shared" si="6"/>
        <v/>
      </c>
      <c r="U43" s="262" t="str">
        <f t="shared" si="3"/>
        <v/>
      </c>
    </row>
    <row r="44" spans="2:21" ht="17.25" customHeight="1" x14ac:dyDescent="0.15">
      <c r="J44" s="266"/>
      <c r="K44" s="267"/>
      <c r="L44" s="267"/>
      <c r="M44" s="268" t="s">
        <v>367</v>
      </c>
      <c r="N44" s="269" t="str">
        <f>IF(K35&amp;L35&lt;&gt;"",IF($D$28&lt;&gt;"",$D$28,""),"")</f>
        <v/>
      </c>
      <c r="O44" s="270"/>
      <c r="P44" s="271" t="str">
        <f t="shared" si="2"/>
        <v/>
      </c>
      <c r="Q44" s="272"/>
      <c r="R44" s="255">
        <f t="shared" si="5"/>
        <v>0</v>
      </c>
      <c r="S44" s="255">
        <f>IF(S35&gt;0,R44*S35,99999999)</f>
        <v>99999999</v>
      </c>
      <c r="T44" s="262" t="str">
        <f t="shared" si="6"/>
        <v/>
      </c>
      <c r="U44" s="262" t="str">
        <f t="shared" si="3"/>
        <v/>
      </c>
    </row>
    <row r="45" spans="2:21" ht="17.25" customHeight="1" x14ac:dyDescent="0.15">
      <c r="J45" s="266"/>
      <c r="K45" s="267"/>
      <c r="L45" s="267"/>
      <c r="M45" s="268" t="s">
        <v>367</v>
      </c>
      <c r="N45" s="269" t="str">
        <f>IF(K35&amp;L35&lt;&gt;"",IF($D$29&lt;&gt;"",$D$29,""),"")</f>
        <v/>
      </c>
      <c r="O45" s="270"/>
      <c r="P45" s="271" t="str">
        <f t="shared" si="2"/>
        <v/>
      </c>
      <c r="Q45" s="272"/>
      <c r="R45" s="255">
        <f t="shared" si="5"/>
        <v>0</v>
      </c>
      <c r="S45" s="255">
        <f>IF(S35&gt;0,R45*S35,99999999)</f>
        <v>99999999</v>
      </c>
      <c r="T45" s="262" t="str">
        <f t="shared" si="6"/>
        <v/>
      </c>
      <c r="U45" s="262" t="str">
        <f t="shared" si="3"/>
        <v/>
      </c>
    </row>
    <row r="46" spans="2:21" ht="17.25" hidden="1" customHeight="1" outlineLevel="1" x14ac:dyDescent="0.15">
      <c r="J46" s="266"/>
      <c r="K46" s="267"/>
      <c r="L46" s="267"/>
      <c r="M46" s="268" t="s">
        <v>367</v>
      </c>
      <c r="N46" s="269" t="str">
        <f>IF(K35&amp;L35&lt;&gt;"",IF($D$30&lt;&gt;"",$D$30,""),"")</f>
        <v/>
      </c>
      <c r="O46" s="270"/>
      <c r="P46" s="271" t="str">
        <f t="shared" si="2"/>
        <v/>
      </c>
      <c r="Q46" s="272"/>
      <c r="R46" s="255">
        <f t="shared" si="5"/>
        <v>0</v>
      </c>
      <c r="S46" s="255">
        <f>IF(S35&gt;0,R46*S35,99999999)</f>
        <v>99999999</v>
      </c>
      <c r="T46" s="262" t="str">
        <f t="shared" si="6"/>
        <v/>
      </c>
      <c r="U46" s="262" t="str">
        <f t="shared" si="3"/>
        <v/>
      </c>
    </row>
    <row r="47" spans="2:21" ht="17.25" hidden="1" customHeight="1" outlineLevel="1" x14ac:dyDescent="0.15">
      <c r="J47" s="266"/>
      <c r="K47" s="267"/>
      <c r="L47" s="267"/>
      <c r="M47" s="268" t="s">
        <v>367</v>
      </c>
      <c r="N47" s="269" t="str">
        <f>IF(K35&amp;L35&lt;&gt;"",IF($D$31&lt;&gt;"",$D$31,""),"")</f>
        <v/>
      </c>
      <c r="O47" s="270"/>
      <c r="P47" s="271" t="str">
        <f t="shared" si="2"/>
        <v/>
      </c>
      <c r="Q47" s="272"/>
      <c r="R47" s="255">
        <f t="shared" si="5"/>
        <v>0</v>
      </c>
      <c r="S47" s="255">
        <f>IF(S35&gt;0,R47*S35,99999999)</f>
        <v>99999999</v>
      </c>
      <c r="T47" s="262" t="str">
        <f t="shared" si="6"/>
        <v/>
      </c>
      <c r="U47" s="262" t="str">
        <f t="shared" si="3"/>
        <v/>
      </c>
    </row>
    <row r="48" spans="2:21" ht="17.25" hidden="1" customHeight="1" outlineLevel="1" x14ac:dyDescent="0.15">
      <c r="J48" s="266"/>
      <c r="K48" s="267"/>
      <c r="L48" s="267"/>
      <c r="M48" s="268" t="s">
        <v>367</v>
      </c>
      <c r="N48" s="269" t="str">
        <f>IF(K35&amp;L35&lt;&gt;"",IF($D$32&lt;&gt;"",$D$32,""),"")</f>
        <v/>
      </c>
      <c r="O48" s="270"/>
      <c r="P48" s="271" t="str">
        <f t="shared" si="2"/>
        <v/>
      </c>
      <c r="Q48" s="272"/>
      <c r="R48" s="255">
        <f t="shared" si="5"/>
        <v>0</v>
      </c>
      <c r="S48" s="255">
        <f>IF(S35&gt;0,R48*S35,99999999)</f>
        <v>99999999</v>
      </c>
      <c r="T48" s="262" t="str">
        <f t="shared" si="6"/>
        <v/>
      </c>
      <c r="U48" s="262" t="str">
        <f t="shared" si="3"/>
        <v/>
      </c>
    </row>
    <row r="49" spans="10:21" ht="17.25" hidden="1" customHeight="1" outlineLevel="1" x14ac:dyDescent="0.15">
      <c r="J49" s="266"/>
      <c r="K49" s="267"/>
      <c r="L49" s="267"/>
      <c r="M49" s="268" t="s">
        <v>367</v>
      </c>
      <c r="N49" s="269" t="str">
        <f>IF(K35&amp;L35&lt;&gt;"",IF($D$33&lt;&gt;"",$D$33,""),"")</f>
        <v/>
      </c>
      <c r="O49" s="270"/>
      <c r="P49" s="271" t="str">
        <f t="shared" si="2"/>
        <v/>
      </c>
      <c r="Q49" s="272"/>
      <c r="R49" s="255">
        <f t="shared" si="5"/>
        <v>0</v>
      </c>
      <c r="S49" s="255">
        <f>IF(S35&gt;0,R49*S35,99999999)</f>
        <v>99999999</v>
      </c>
      <c r="T49" s="262" t="str">
        <f t="shared" si="6"/>
        <v/>
      </c>
      <c r="U49" s="262" t="str">
        <f t="shared" si="3"/>
        <v/>
      </c>
    </row>
    <row r="50" spans="10:21" ht="17.25" hidden="1" customHeight="1" outlineLevel="1" x14ac:dyDescent="0.15">
      <c r="J50" s="279"/>
      <c r="K50" s="280"/>
      <c r="L50" s="280"/>
      <c r="M50" s="281" t="s">
        <v>367</v>
      </c>
      <c r="N50" s="278" t="str">
        <f>IF(K35&amp;L35&lt;&gt;"",IF($D$34&lt;&gt;"",$D$34,""),"")</f>
        <v/>
      </c>
      <c r="O50" s="282"/>
      <c r="P50" s="271" t="str">
        <f t="shared" si="2"/>
        <v/>
      </c>
      <c r="Q50" s="283"/>
      <c r="R50" s="255">
        <f t="shared" si="5"/>
        <v>0</v>
      </c>
      <c r="S50" s="255">
        <f>IF(S35&gt;0,R50*S35,99999999)</f>
        <v>99999999</v>
      </c>
      <c r="T50" s="262" t="str">
        <f t="shared" si="6"/>
        <v/>
      </c>
      <c r="U50" s="262" t="str">
        <f t="shared" si="3"/>
        <v/>
      </c>
    </row>
    <row r="51" spans="10:21" ht="17.25" customHeight="1" collapsed="1" x14ac:dyDescent="0.15">
      <c r="J51" s="256">
        <v>3</v>
      </c>
      <c r="K51" s="257"/>
      <c r="L51" s="257"/>
      <c r="M51" s="258" t="s">
        <v>366</v>
      </c>
      <c r="N51" s="259" t="str">
        <f>IF(K51&amp;L51&lt;&gt;"",IF($D$19&lt;&gt;"",$D$19,""),"")</f>
        <v/>
      </c>
      <c r="O51" s="257"/>
      <c r="P51" s="260" t="str">
        <f t="shared" si="2"/>
        <v/>
      </c>
      <c r="Q51" s="261"/>
      <c r="R51" s="255">
        <f t="shared" ref="R51:R61" si="7">IF(N51&lt;&gt;"",VLOOKUP(N51,$D$19:$E$29,2,FALSE),0)</f>
        <v>0</v>
      </c>
      <c r="S51" s="255">
        <f>IF($E$19&gt;0,IF(MOD(O51,$E$19)=0,O51/$E$19,-1),-1)</f>
        <v>-1</v>
      </c>
      <c r="T51" s="262" t="str">
        <f>IF(N51&lt;&gt;"",IF(O51&lt;&gt;"",IF(S51&gt;0,"OK","数量が不足しています"),"数量が未入力です"),"")</f>
        <v/>
      </c>
      <c r="U51" s="262" t="str">
        <f t="shared" si="3"/>
        <v/>
      </c>
    </row>
    <row r="52" spans="10:21" ht="17.25" customHeight="1" x14ac:dyDescent="0.15">
      <c r="J52" s="266"/>
      <c r="K52" s="267"/>
      <c r="L52" s="267"/>
      <c r="M52" s="268" t="s">
        <v>367</v>
      </c>
      <c r="N52" s="269" t="str">
        <f>IF(K51&amp;L51&lt;&gt;"",IF($D$20&lt;&gt;"",$D$20,""),"")</f>
        <v/>
      </c>
      <c r="O52" s="270"/>
      <c r="P52" s="271" t="str">
        <f t="shared" si="2"/>
        <v/>
      </c>
      <c r="Q52" s="272"/>
      <c r="R52" s="255">
        <f t="shared" si="7"/>
        <v>0</v>
      </c>
      <c r="S52" s="255">
        <f>IF(S51&gt;0,R52*S51,99999999)</f>
        <v>99999999</v>
      </c>
      <c r="T52" s="262" t="str">
        <f>IF(N52&lt;&gt;"",IF(O52&lt;&gt;"",IF(O52&gt;=S52,"OK","数量が不足しています"),"数量が未入力です"),"")</f>
        <v/>
      </c>
      <c r="U52" s="262" t="str">
        <f t="shared" si="3"/>
        <v/>
      </c>
    </row>
    <row r="53" spans="10:21" ht="17.25" customHeight="1" x14ac:dyDescent="0.15">
      <c r="J53" s="266"/>
      <c r="K53" s="267"/>
      <c r="L53" s="267"/>
      <c r="M53" s="268" t="s">
        <v>367</v>
      </c>
      <c r="N53" s="269" t="str">
        <f>IF(K51&amp;L51&lt;&gt;"",IF($D$21&lt;&gt;"",$D$21,""),"")</f>
        <v/>
      </c>
      <c r="O53" s="270"/>
      <c r="P53" s="271" t="str">
        <f t="shared" si="2"/>
        <v/>
      </c>
      <c r="Q53" s="272"/>
      <c r="R53" s="255">
        <f t="shared" si="7"/>
        <v>0</v>
      </c>
      <c r="S53" s="255">
        <f>IF(S51&gt;0,R53*S51,99999999)</f>
        <v>99999999</v>
      </c>
      <c r="T53" s="262" t="str">
        <f>IF(N53&lt;&gt;"",IF(O53&lt;&gt;"",IF(O53&gt;=S53,"OK","数量が不足しています"),"数量が未入力です"),"")</f>
        <v/>
      </c>
      <c r="U53" s="262" t="str">
        <f t="shared" si="3"/>
        <v/>
      </c>
    </row>
    <row r="54" spans="10:21" ht="17.25" customHeight="1" x14ac:dyDescent="0.15">
      <c r="J54" s="266"/>
      <c r="K54" s="267"/>
      <c r="L54" s="267"/>
      <c r="M54" s="268" t="s">
        <v>367</v>
      </c>
      <c r="N54" s="269" t="str">
        <f>IF(K51&amp;L51&lt;&gt;"",IF($D$22&lt;&gt;"",$D$22,""),"")</f>
        <v/>
      </c>
      <c r="O54" s="270"/>
      <c r="P54" s="271" t="str">
        <f t="shared" si="2"/>
        <v/>
      </c>
      <c r="Q54" s="272"/>
      <c r="R54" s="255">
        <f t="shared" si="7"/>
        <v>0</v>
      </c>
      <c r="S54" s="255">
        <f>IF(S51&gt;0,R54*S51,99999999)</f>
        <v>99999999</v>
      </c>
      <c r="T54" s="262" t="str">
        <f>IF(N54&lt;&gt;"",IF(O54&lt;&gt;"",IF(O54&gt;=S54,"OK","数量が不足しています"),"数量が未入力です"),"")</f>
        <v/>
      </c>
      <c r="U54" s="262" t="str">
        <f t="shared" si="3"/>
        <v/>
      </c>
    </row>
    <row r="55" spans="10:21" ht="17.25" customHeight="1" x14ac:dyDescent="0.15">
      <c r="J55" s="266"/>
      <c r="K55" s="267"/>
      <c r="L55" s="267"/>
      <c r="M55" s="268" t="s">
        <v>367</v>
      </c>
      <c r="N55" s="269" t="str">
        <f>IF(K51&amp;L51&lt;&gt;"",IF($D$23&lt;&gt;"",$D$23,""),"")</f>
        <v/>
      </c>
      <c r="O55" s="270"/>
      <c r="P55" s="271" t="str">
        <f t="shared" si="2"/>
        <v/>
      </c>
      <c r="Q55" s="272"/>
      <c r="R55" s="255">
        <f t="shared" si="7"/>
        <v>0</v>
      </c>
      <c r="S55" s="255">
        <f>IF(S51&gt;0,R55*S51,99999999)</f>
        <v>99999999</v>
      </c>
      <c r="T55" s="262" t="str">
        <f>IF(N55&lt;&gt;"",IF(O55&lt;&gt;"",IF(O55&gt;=S55,"OK","数量が不足しています"),"数量が未入力です"),"")</f>
        <v/>
      </c>
      <c r="U55" s="262" t="str">
        <f t="shared" si="3"/>
        <v/>
      </c>
    </row>
    <row r="56" spans="10:21" ht="17.25" customHeight="1" x14ac:dyDescent="0.15">
      <c r="J56" s="266"/>
      <c r="K56" s="267"/>
      <c r="L56" s="267"/>
      <c r="M56" s="268" t="s">
        <v>367</v>
      </c>
      <c r="N56" s="269" t="str">
        <f>IF(K51&amp;L51&lt;&gt;"",IF($D$24&lt;&gt;"",$D$24,""),"")</f>
        <v/>
      </c>
      <c r="O56" s="270"/>
      <c r="P56" s="271" t="str">
        <f t="shared" si="2"/>
        <v/>
      </c>
      <c r="Q56" s="272"/>
      <c r="R56" s="255">
        <f t="shared" si="7"/>
        <v>0</v>
      </c>
      <c r="S56" s="255">
        <f>IF(S51&gt;0,R56*S51,99999999)</f>
        <v>99999999</v>
      </c>
      <c r="T56" s="262" t="str">
        <f t="shared" si="6"/>
        <v/>
      </c>
      <c r="U56" s="262" t="str">
        <f t="shared" si="3"/>
        <v/>
      </c>
    </row>
    <row r="57" spans="10:21" ht="17.25" customHeight="1" x14ac:dyDescent="0.15">
      <c r="J57" s="266"/>
      <c r="K57" s="267"/>
      <c r="L57" s="267"/>
      <c r="M57" s="268" t="s">
        <v>367</v>
      </c>
      <c r="N57" s="269" t="str">
        <f>IF(K51&amp;L51&lt;&gt;"",IF($D$25&lt;&gt;"",$D$25,""),"")</f>
        <v/>
      </c>
      <c r="O57" s="270"/>
      <c r="P57" s="271" t="str">
        <f t="shared" si="2"/>
        <v/>
      </c>
      <c r="Q57" s="272"/>
      <c r="R57" s="255">
        <f t="shared" si="7"/>
        <v>0</v>
      </c>
      <c r="S57" s="255">
        <f>IF(S51&gt;0,R57*S51,99999999)</f>
        <v>99999999</v>
      </c>
      <c r="T57" s="262" t="str">
        <f t="shared" si="6"/>
        <v/>
      </c>
      <c r="U57" s="262" t="str">
        <f t="shared" si="3"/>
        <v/>
      </c>
    </row>
    <row r="58" spans="10:21" ht="17.25" customHeight="1" x14ac:dyDescent="0.15">
      <c r="J58" s="266"/>
      <c r="K58" s="267"/>
      <c r="L58" s="267"/>
      <c r="M58" s="268" t="s">
        <v>367</v>
      </c>
      <c r="N58" s="269" t="str">
        <f>IF(K51&amp;L51&lt;&gt;"",IF($D$26&lt;&gt;"",$D$26,""),"")</f>
        <v/>
      </c>
      <c r="O58" s="270"/>
      <c r="P58" s="271" t="str">
        <f t="shared" si="2"/>
        <v/>
      </c>
      <c r="Q58" s="272"/>
      <c r="R58" s="255">
        <f t="shared" si="7"/>
        <v>0</v>
      </c>
      <c r="S58" s="255">
        <f>IF(S51&gt;0,R58*S51,99999999)</f>
        <v>99999999</v>
      </c>
      <c r="T58" s="262" t="str">
        <f t="shared" si="6"/>
        <v/>
      </c>
      <c r="U58" s="262" t="str">
        <f t="shared" si="3"/>
        <v/>
      </c>
    </row>
    <row r="59" spans="10:21" ht="17.25" customHeight="1" x14ac:dyDescent="0.15">
      <c r="J59" s="266"/>
      <c r="K59" s="267"/>
      <c r="L59" s="267"/>
      <c r="M59" s="268" t="s">
        <v>367</v>
      </c>
      <c r="N59" s="269" t="str">
        <f>IF(K51&amp;L51&lt;&gt;"",IF($D$27&lt;&gt;"",$D$27,""),"")</f>
        <v/>
      </c>
      <c r="O59" s="270"/>
      <c r="P59" s="271" t="str">
        <f t="shared" si="2"/>
        <v/>
      </c>
      <c r="Q59" s="272"/>
      <c r="R59" s="255">
        <f t="shared" si="7"/>
        <v>0</v>
      </c>
      <c r="S59" s="255">
        <f>IF(S51&gt;0,R59*S51,99999999)</f>
        <v>99999999</v>
      </c>
      <c r="T59" s="262" t="str">
        <f t="shared" si="6"/>
        <v/>
      </c>
      <c r="U59" s="262" t="str">
        <f t="shared" si="3"/>
        <v/>
      </c>
    </row>
    <row r="60" spans="10:21" ht="17.25" customHeight="1" x14ac:dyDescent="0.15">
      <c r="J60" s="266"/>
      <c r="K60" s="267"/>
      <c r="L60" s="267"/>
      <c r="M60" s="268" t="s">
        <v>367</v>
      </c>
      <c r="N60" s="269" t="str">
        <f>IF(K51&amp;L51&lt;&gt;"",IF($D$28&lt;&gt;"",$D$28,""),"")</f>
        <v/>
      </c>
      <c r="O60" s="270"/>
      <c r="P60" s="271" t="str">
        <f t="shared" si="2"/>
        <v/>
      </c>
      <c r="Q60" s="272"/>
      <c r="R60" s="255">
        <f t="shared" si="7"/>
        <v>0</v>
      </c>
      <c r="S60" s="255">
        <f>IF(S51&gt;0,R60*S51,99999999)</f>
        <v>99999999</v>
      </c>
      <c r="T60" s="262" t="str">
        <f t="shared" si="6"/>
        <v/>
      </c>
      <c r="U60" s="262" t="str">
        <f t="shared" si="3"/>
        <v/>
      </c>
    </row>
    <row r="61" spans="10:21" ht="17.25" customHeight="1" thickBot="1" x14ac:dyDescent="0.2">
      <c r="J61" s="266"/>
      <c r="K61" s="267"/>
      <c r="L61" s="267"/>
      <c r="M61" s="268" t="s">
        <v>367</v>
      </c>
      <c r="N61" s="269" t="str">
        <f>IF(K51&amp;L51&lt;&gt;"",IF($D$29&lt;&gt;"",$D$29,""),"")</f>
        <v/>
      </c>
      <c r="O61" s="270"/>
      <c r="P61" s="271" t="str">
        <f t="shared" si="2"/>
        <v/>
      </c>
      <c r="Q61" s="272"/>
      <c r="R61" s="255">
        <f t="shared" si="7"/>
        <v>0</v>
      </c>
      <c r="S61" s="255">
        <f>IF(S51&gt;0,R61*S51,99999999)</f>
        <v>99999999</v>
      </c>
      <c r="T61" s="262" t="str">
        <f t="shared" si="6"/>
        <v/>
      </c>
      <c r="U61" s="262" t="str">
        <f t="shared" si="3"/>
        <v/>
      </c>
    </row>
    <row r="62" spans="10:21" ht="17.25" hidden="1" customHeight="1" outlineLevel="1" x14ac:dyDescent="0.15">
      <c r="J62" s="266"/>
      <c r="K62" s="267"/>
      <c r="L62" s="267"/>
      <c r="M62" s="268" t="s">
        <v>367</v>
      </c>
      <c r="N62" s="269" t="str">
        <f>IF(K51&amp;L51&lt;&gt;"",IF($D$30&lt;&gt;"",$D$30,""),"")</f>
        <v/>
      </c>
      <c r="O62" s="270"/>
      <c r="P62" s="271" t="str">
        <f t="shared" si="2"/>
        <v/>
      </c>
      <c r="Q62" s="272"/>
      <c r="R62" s="255">
        <f>IF(N62&lt;&gt;"",VLOOKUP(N62,$D$19:$E$34,2,FALSE),0)</f>
        <v>0</v>
      </c>
      <c r="S62" s="255">
        <f>IF(S51&gt;0,R62*S51,99999999)</f>
        <v>99999999</v>
      </c>
      <c r="T62" s="262" t="str">
        <f t="shared" si="6"/>
        <v/>
      </c>
      <c r="U62" s="262" t="str">
        <f t="shared" si="3"/>
        <v/>
      </c>
    </row>
    <row r="63" spans="10:21" ht="17.25" hidden="1" customHeight="1" outlineLevel="1" x14ac:dyDescent="0.15">
      <c r="J63" s="266"/>
      <c r="K63" s="267"/>
      <c r="L63" s="267"/>
      <c r="M63" s="268" t="s">
        <v>367</v>
      </c>
      <c r="N63" s="269" t="str">
        <f>IF(K51&amp;L51&lt;&gt;"",IF($D$31&lt;&gt;"",$D$31,""),"")</f>
        <v/>
      </c>
      <c r="O63" s="270"/>
      <c r="P63" s="271" t="str">
        <f t="shared" si="2"/>
        <v/>
      </c>
      <c r="Q63" s="272"/>
      <c r="R63" s="255">
        <f>IF(N63&lt;&gt;"",VLOOKUP(N63,$D$19:$E$34,2,FALSE),0)</f>
        <v>0</v>
      </c>
      <c r="S63" s="255">
        <f>IF(S51&gt;0,R63*S51,99999999)</f>
        <v>99999999</v>
      </c>
      <c r="T63" s="262" t="str">
        <f t="shared" si="6"/>
        <v/>
      </c>
      <c r="U63" s="262" t="str">
        <f t="shared" si="3"/>
        <v/>
      </c>
    </row>
    <row r="64" spans="10:21" ht="17.25" hidden="1" customHeight="1" outlineLevel="1" x14ac:dyDescent="0.15">
      <c r="J64" s="266"/>
      <c r="K64" s="267"/>
      <c r="L64" s="267"/>
      <c r="M64" s="268" t="s">
        <v>367</v>
      </c>
      <c r="N64" s="269" t="str">
        <f>IF(K51&amp;L51&lt;&gt;"",IF($D$32&lt;&gt;"",$D$32,""),"")</f>
        <v/>
      </c>
      <c r="O64" s="270"/>
      <c r="P64" s="271" t="str">
        <f t="shared" si="2"/>
        <v/>
      </c>
      <c r="Q64" s="272"/>
      <c r="R64" s="255">
        <f>IF(N64&lt;&gt;"",VLOOKUP(N64,$D$19:$E$34,2,FALSE),0)</f>
        <v>0</v>
      </c>
      <c r="S64" s="255">
        <f>IF(S51&gt;0,R64*S51,99999999)</f>
        <v>99999999</v>
      </c>
      <c r="T64" s="262" t="str">
        <f t="shared" si="6"/>
        <v/>
      </c>
      <c r="U64" s="262" t="str">
        <f t="shared" si="3"/>
        <v/>
      </c>
    </row>
    <row r="65" spans="10:21" ht="17.25" hidden="1" customHeight="1" outlineLevel="1" x14ac:dyDescent="0.15">
      <c r="J65" s="266"/>
      <c r="K65" s="267"/>
      <c r="L65" s="267"/>
      <c r="M65" s="268" t="s">
        <v>367</v>
      </c>
      <c r="N65" s="269" t="str">
        <f>IF(K51&amp;L51&lt;&gt;"",IF($D$33&lt;&gt;"",$D$33,""),"")</f>
        <v/>
      </c>
      <c r="O65" s="270"/>
      <c r="P65" s="271" t="str">
        <f t="shared" si="2"/>
        <v/>
      </c>
      <c r="Q65" s="272"/>
      <c r="R65" s="255">
        <f>IF(N65&lt;&gt;"",VLOOKUP(N65,$D$19:$E$34,2,FALSE),0)</f>
        <v>0</v>
      </c>
      <c r="S65" s="255">
        <f>IF(S51&gt;0,R65*S51,99999999)</f>
        <v>99999999</v>
      </c>
      <c r="T65" s="262" t="str">
        <f t="shared" si="6"/>
        <v/>
      </c>
      <c r="U65" s="262" t="str">
        <f t="shared" si="3"/>
        <v/>
      </c>
    </row>
    <row r="66" spans="10:21" ht="17.25" hidden="1" customHeight="1" outlineLevel="1" thickBot="1" x14ac:dyDescent="0.2">
      <c r="J66" s="286"/>
      <c r="K66" s="287"/>
      <c r="L66" s="287"/>
      <c r="M66" s="288" t="s">
        <v>367</v>
      </c>
      <c r="N66" s="289" t="str">
        <f>IF(K51&amp;L51&lt;&gt;"",IF($D$34&lt;&gt;"",$D$34,""),"")</f>
        <v/>
      </c>
      <c r="O66" s="290"/>
      <c r="P66" s="291" t="str">
        <f t="shared" si="2"/>
        <v/>
      </c>
      <c r="Q66" s="292"/>
      <c r="R66" s="255">
        <f>IF(N66&lt;&gt;"",VLOOKUP(N66,$D$19:$E$34,2,FALSE),0)</f>
        <v>0</v>
      </c>
      <c r="S66" s="255">
        <f>IF(S51&gt;0,R66*S51,99999999)</f>
        <v>99999999</v>
      </c>
      <c r="T66" s="262" t="str">
        <f t="shared" si="6"/>
        <v/>
      </c>
      <c r="U66" s="262" t="str">
        <f t="shared" si="3"/>
        <v/>
      </c>
    </row>
    <row r="67" spans="10:21" ht="17.25" customHeight="1" collapsed="1" thickTop="1" x14ac:dyDescent="0.15">
      <c r="J67" s="298">
        <v>4</v>
      </c>
      <c r="K67" s="299"/>
      <c r="L67" s="299"/>
      <c r="M67" s="300" t="s">
        <v>366</v>
      </c>
      <c r="N67" s="301" t="str">
        <f>IF(K67&amp;L67&lt;&gt;"",IF($D$19&lt;&gt;"",$D$19,""),"")</f>
        <v/>
      </c>
      <c r="O67" s="299"/>
      <c r="P67" s="302" t="str">
        <f t="shared" si="2"/>
        <v/>
      </c>
      <c r="Q67" s="303"/>
      <c r="R67" s="255">
        <f t="shared" ref="R67:R77" si="8">IF(N67&lt;&gt;"",VLOOKUP(N67,$D$19:$E$29,2,FALSE),0)</f>
        <v>0</v>
      </c>
      <c r="S67" s="255">
        <f>IF($E$19&gt;0,IF(MOD(O67,$E$19)=0,O67/$E$19,-1),-1)</f>
        <v>-1</v>
      </c>
      <c r="T67" s="262" t="str">
        <f>IF(N67&lt;&gt;"",IF(O67&lt;&gt;"",IF(S67&gt;0,"OK","数量が不足しています"),"数量が未入力です"),"")</f>
        <v/>
      </c>
      <c r="U67" s="262" t="str">
        <f t="shared" si="3"/>
        <v/>
      </c>
    </row>
    <row r="68" spans="10:21" ht="17.25" customHeight="1" x14ac:dyDescent="0.15">
      <c r="J68" s="266"/>
      <c r="K68" s="267"/>
      <c r="L68" s="267"/>
      <c r="M68" s="268" t="s">
        <v>367</v>
      </c>
      <c r="N68" s="269" t="str">
        <f>IF(K67&amp;L67&lt;&gt;"",IF($D$20&lt;&gt;"",$D$20,""),"")</f>
        <v/>
      </c>
      <c r="O68" s="270"/>
      <c r="P68" s="271" t="str">
        <f t="shared" si="2"/>
        <v/>
      </c>
      <c r="Q68" s="272"/>
      <c r="R68" s="255">
        <f t="shared" si="8"/>
        <v>0</v>
      </c>
      <c r="S68" s="255">
        <f>IF(S67&gt;0,R68*S67,99999999)</f>
        <v>99999999</v>
      </c>
      <c r="T68" s="262" t="str">
        <f t="shared" si="6"/>
        <v/>
      </c>
      <c r="U68" s="262" t="str">
        <f t="shared" si="3"/>
        <v/>
      </c>
    </row>
    <row r="69" spans="10:21" ht="17.25" customHeight="1" x14ac:dyDescent="0.15">
      <c r="J69" s="266"/>
      <c r="K69" s="267"/>
      <c r="L69" s="267"/>
      <c r="M69" s="268" t="s">
        <v>367</v>
      </c>
      <c r="N69" s="269" t="str">
        <f>IF(K67&amp;L67&lt;&gt;"",IF($D$21&lt;&gt;"",$D$21,""),"")</f>
        <v/>
      </c>
      <c r="O69" s="270"/>
      <c r="P69" s="271" t="str">
        <f t="shared" si="2"/>
        <v/>
      </c>
      <c r="Q69" s="272"/>
      <c r="R69" s="255">
        <f t="shared" si="8"/>
        <v>0</v>
      </c>
      <c r="S69" s="255">
        <f>IF(S67&gt;0,R69*S67,99999999)</f>
        <v>99999999</v>
      </c>
      <c r="T69" s="262" t="str">
        <f t="shared" si="6"/>
        <v/>
      </c>
      <c r="U69" s="262" t="str">
        <f t="shared" si="3"/>
        <v/>
      </c>
    </row>
    <row r="70" spans="10:21" ht="17.25" customHeight="1" x14ac:dyDescent="0.15">
      <c r="J70" s="266"/>
      <c r="K70" s="267"/>
      <c r="L70" s="267"/>
      <c r="M70" s="268" t="s">
        <v>367</v>
      </c>
      <c r="N70" s="269" t="str">
        <f>IF(K67&amp;L67&lt;&gt;"",IF($D$22&lt;&gt;"",$D$22,""),"")</f>
        <v/>
      </c>
      <c r="O70" s="270"/>
      <c r="P70" s="271" t="str">
        <f t="shared" si="2"/>
        <v/>
      </c>
      <c r="Q70" s="272"/>
      <c r="R70" s="255">
        <f t="shared" si="8"/>
        <v>0</v>
      </c>
      <c r="S70" s="255">
        <f>IF(S67&gt;0,R70*S67,99999999)</f>
        <v>99999999</v>
      </c>
      <c r="T70" s="262" t="str">
        <f t="shared" si="6"/>
        <v/>
      </c>
      <c r="U70" s="262" t="str">
        <f t="shared" si="3"/>
        <v/>
      </c>
    </row>
    <row r="71" spans="10:21" ht="17.25" customHeight="1" x14ac:dyDescent="0.15">
      <c r="J71" s="266"/>
      <c r="K71" s="267"/>
      <c r="L71" s="267"/>
      <c r="M71" s="268" t="s">
        <v>367</v>
      </c>
      <c r="N71" s="269" t="str">
        <f>IF(K67&amp;L67&lt;&gt;"",IF($D$23&lt;&gt;"",$D$23,""),"")</f>
        <v/>
      </c>
      <c r="O71" s="270"/>
      <c r="P71" s="271" t="str">
        <f t="shared" si="2"/>
        <v/>
      </c>
      <c r="Q71" s="272"/>
      <c r="R71" s="255">
        <f t="shared" si="8"/>
        <v>0</v>
      </c>
      <c r="S71" s="255">
        <f>IF(S67&gt;0,R71*S67,99999999)</f>
        <v>99999999</v>
      </c>
      <c r="T71" s="262" t="str">
        <f t="shared" si="6"/>
        <v/>
      </c>
      <c r="U71" s="262" t="str">
        <f t="shared" si="3"/>
        <v/>
      </c>
    </row>
    <row r="72" spans="10:21" ht="17.25" customHeight="1" x14ac:dyDescent="0.15">
      <c r="J72" s="266"/>
      <c r="K72" s="267"/>
      <c r="L72" s="267"/>
      <c r="M72" s="268" t="s">
        <v>367</v>
      </c>
      <c r="N72" s="269" t="str">
        <f>IF(K67&amp;L67&lt;&gt;"",IF($D$24&lt;&gt;"",$D$24,""),"")</f>
        <v/>
      </c>
      <c r="O72" s="270"/>
      <c r="P72" s="271" t="str">
        <f t="shared" si="2"/>
        <v/>
      </c>
      <c r="Q72" s="272"/>
      <c r="R72" s="255">
        <f t="shared" si="8"/>
        <v>0</v>
      </c>
      <c r="S72" s="255">
        <f>IF(S67&gt;0,R72*S67,99999999)</f>
        <v>99999999</v>
      </c>
      <c r="T72" s="262" t="str">
        <f t="shared" si="6"/>
        <v/>
      </c>
      <c r="U72" s="262" t="str">
        <f t="shared" si="3"/>
        <v/>
      </c>
    </row>
    <row r="73" spans="10:21" ht="17.25" customHeight="1" x14ac:dyDescent="0.15">
      <c r="J73" s="266"/>
      <c r="K73" s="267"/>
      <c r="L73" s="267"/>
      <c r="M73" s="268" t="s">
        <v>367</v>
      </c>
      <c r="N73" s="269" t="str">
        <f>IF(K67&amp;L67&lt;&gt;"",IF($D$25&lt;&gt;"",$D$25,""),"")</f>
        <v/>
      </c>
      <c r="O73" s="270"/>
      <c r="P73" s="271" t="str">
        <f t="shared" si="2"/>
        <v/>
      </c>
      <c r="Q73" s="272"/>
      <c r="R73" s="255">
        <f t="shared" si="8"/>
        <v>0</v>
      </c>
      <c r="S73" s="255">
        <f>IF(S67&gt;0,R73*S67,99999999)</f>
        <v>99999999</v>
      </c>
      <c r="T73" s="262" t="str">
        <f t="shared" si="6"/>
        <v/>
      </c>
      <c r="U73" s="262" t="str">
        <f t="shared" si="3"/>
        <v/>
      </c>
    </row>
    <row r="74" spans="10:21" ht="17.25" customHeight="1" x14ac:dyDescent="0.15">
      <c r="J74" s="266"/>
      <c r="K74" s="267"/>
      <c r="L74" s="267"/>
      <c r="M74" s="268" t="s">
        <v>367</v>
      </c>
      <c r="N74" s="269" t="str">
        <f>IF(K67&amp;L67&lt;&gt;"",IF($D$26&lt;&gt;"",$D$26,""),"")</f>
        <v/>
      </c>
      <c r="O74" s="270"/>
      <c r="P74" s="271" t="str">
        <f t="shared" si="2"/>
        <v/>
      </c>
      <c r="Q74" s="272"/>
      <c r="R74" s="255">
        <f t="shared" si="8"/>
        <v>0</v>
      </c>
      <c r="S74" s="255">
        <f>IF(S67&gt;0,R74*S67,99999999)</f>
        <v>99999999</v>
      </c>
      <c r="T74" s="262" t="str">
        <f t="shared" si="6"/>
        <v/>
      </c>
      <c r="U74" s="262" t="str">
        <f t="shared" si="3"/>
        <v/>
      </c>
    </row>
    <row r="75" spans="10:21" ht="17.25" customHeight="1" x14ac:dyDescent="0.15">
      <c r="J75" s="266"/>
      <c r="K75" s="267"/>
      <c r="L75" s="267"/>
      <c r="M75" s="268" t="s">
        <v>367</v>
      </c>
      <c r="N75" s="269" t="str">
        <f>IF(K67&amp;L67&lt;&gt;"",IF($D$27&lt;&gt;"",$D$27,""),"")</f>
        <v/>
      </c>
      <c r="O75" s="270"/>
      <c r="P75" s="271" t="str">
        <f t="shared" si="2"/>
        <v/>
      </c>
      <c r="Q75" s="272"/>
      <c r="R75" s="255">
        <f t="shared" si="8"/>
        <v>0</v>
      </c>
      <c r="S75" s="255">
        <f>IF(S67&gt;0,R75*S67,99999999)</f>
        <v>99999999</v>
      </c>
      <c r="T75" s="262" t="str">
        <f t="shared" si="6"/>
        <v/>
      </c>
      <c r="U75" s="262" t="str">
        <f t="shared" si="3"/>
        <v/>
      </c>
    </row>
    <row r="76" spans="10:21" ht="17.25" customHeight="1" x14ac:dyDescent="0.15">
      <c r="J76" s="266"/>
      <c r="K76" s="267"/>
      <c r="L76" s="267"/>
      <c r="M76" s="268" t="s">
        <v>367</v>
      </c>
      <c r="N76" s="269" t="str">
        <f>IF(K67&amp;L67&lt;&gt;"",IF($D$28&lt;&gt;"",$D$28,""),"")</f>
        <v/>
      </c>
      <c r="O76" s="270"/>
      <c r="P76" s="271" t="str">
        <f t="shared" si="2"/>
        <v/>
      </c>
      <c r="Q76" s="272"/>
      <c r="R76" s="255">
        <f t="shared" si="8"/>
        <v>0</v>
      </c>
      <c r="S76" s="255">
        <f>IF(S67&gt;0,R76*S67,99999999)</f>
        <v>99999999</v>
      </c>
      <c r="T76" s="262" t="str">
        <f t="shared" si="6"/>
        <v/>
      </c>
      <c r="U76" s="262" t="str">
        <f t="shared" si="3"/>
        <v/>
      </c>
    </row>
    <row r="77" spans="10:21" ht="17.25" customHeight="1" x14ac:dyDescent="0.15">
      <c r="J77" s="266"/>
      <c r="K77" s="267"/>
      <c r="L77" s="267"/>
      <c r="M77" s="268" t="s">
        <v>367</v>
      </c>
      <c r="N77" s="269" t="str">
        <f>IF(K67&amp;L67&lt;&gt;"",IF($D$29&lt;&gt;"",$D$29,""),"")</f>
        <v/>
      </c>
      <c r="O77" s="270"/>
      <c r="P77" s="271" t="str">
        <f t="shared" si="2"/>
        <v/>
      </c>
      <c r="Q77" s="272"/>
      <c r="R77" s="255">
        <f t="shared" si="8"/>
        <v>0</v>
      </c>
      <c r="S77" s="255">
        <f>IF(S67&gt;0,R77*S67,99999999)</f>
        <v>99999999</v>
      </c>
      <c r="T77" s="262" t="str">
        <f t="shared" si="6"/>
        <v/>
      </c>
      <c r="U77" s="262" t="str">
        <f t="shared" si="3"/>
        <v/>
      </c>
    </row>
    <row r="78" spans="10:21" ht="17.25" hidden="1" customHeight="1" outlineLevel="1" x14ac:dyDescent="0.15">
      <c r="J78" s="266"/>
      <c r="K78" s="267"/>
      <c r="L78" s="267"/>
      <c r="M78" s="268" t="s">
        <v>367</v>
      </c>
      <c r="N78" s="269" t="str">
        <f>IF(K67&amp;L67&lt;&gt;"",IF($D$30&lt;&gt;"",$D$30,""),"")</f>
        <v/>
      </c>
      <c r="O78" s="270"/>
      <c r="P78" s="271" t="str">
        <f t="shared" si="2"/>
        <v/>
      </c>
      <c r="Q78" s="272"/>
      <c r="R78" s="255">
        <f>IF(N78&lt;&gt;"",VLOOKUP(N78,$D$19:$E$34,2,FALSE),0)</f>
        <v>0</v>
      </c>
      <c r="S78" s="255">
        <f>IF(S67&gt;0,R78*S67,99999999)</f>
        <v>99999999</v>
      </c>
      <c r="T78" s="262" t="str">
        <f t="shared" si="6"/>
        <v/>
      </c>
      <c r="U78" s="262" t="str">
        <f t="shared" si="3"/>
        <v/>
      </c>
    </row>
    <row r="79" spans="10:21" ht="17.25" hidden="1" customHeight="1" outlineLevel="1" x14ac:dyDescent="0.15">
      <c r="J79" s="266"/>
      <c r="K79" s="267"/>
      <c r="L79" s="267"/>
      <c r="M79" s="268" t="s">
        <v>367</v>
      </c>
      <c r="N79" s="269" t="str">
        <f>IF(K67&amp;L67&lt;&gt;"",IF($D$31&lt;&gt;"",$D$31,""),"")</f>
        <v/>
      </c>
      <c r="O79" s="270"/>
      <c r="P79" s="271" t="str">
        <f t="shared" si="2"/>
        <v/>
      </c>
      <c r="Q79" s="272"/>
      <c r="R79" s="255">
        <f>IF(N79&lt;&gt;"",VLOOKUP(N79,$D$19:$E$34,2,FALSE),0)</f>
        <v>0</v>
      </c>
      <c r="S79" s="255">
        <f>IF(S67&gt;0,R79*S67,99999999)</f>
        <v>99999999</v>
      </c>
      <c r="T79" s="262" t="str">
        <f t="shared" si="6"/>
        <v/>
      </c>
      <c r="U79" s="262" t="str">
        <f t="shared" si="3"/>
        <v/>
      </c>
    </row>
    <row r="80" spans="10:21" ht="17.25" hidden="1" customHeight="1" outlineLevel="1" x14ac:dyDescent="0.15">
      <c r="J80" s="266"/>
      <c r="K80" s="267"/>
      <c r="L80" s="267"/>
      <c r="M80" s="268" t="s">
        <v>367</v>
      </c>
      <c r="N80" s="269" t="str">
        <f>IF(K67&amp;L67&lt;&gt;"",IF($D$32&lt;&gt;"",$D$32,""),"")</f>
        <v/>
      </c>
      <c r="O80" s="270"/>
      <c r="P80" s="271" t="str">
        <f t="shared" si="2"/>
        <v/>
      </c>
      <c r="Q80" s="272"/>
      <c r="R80" s="255">
        <f>IF(N80&lt;&gt;"",VLOOKUP(N80,$D$19:$E$34,2,FALSE),0)</f>
        <v>0</v>
      </c>
      <c r="S80" s="255">
        <f>IF(S67&gt;0,R80*S67,99999999)</f>
        <v>99999999</v>
      </c>
      <c r="T80" s="262" t="str">
        <f t="shared" si="6"/>
        <v/>
      </c>
      <c r="U80" s="262" t="str">
        <f t="shared" si="3"/>
        <v/>
      </c>
    </row>
    <row r="81" spans="10:21" ht="17.25" hidden="1" customHeight="1" outlineLevel="1" x14ac:dyDescent="0.15">
      <c r="J81" s="266"/>
      <c r="K81" s="267"/>
      <c r="L81" s="267"/>
      <c r="M81" s="268" t="s">
        <v>367</v>
      </c>
      <c r="N81" s="269" t="str">
        <f>IF(K67&amp;L67&lt;&gt;"",IF($D$33&lt;&gt;"",$D$33,""),"")</f>
        <v/>
      </c>
      <c r="O81" s="270"/>
      <c r="P81" s="271" t="str">
        <f t="shared" si="2"/>
        <v/>
      </c>
      <c r="Q81" s="272"/>
      <c r="R81" s="255">
        <f>IF(N81&lt;&gt;"",VLOOKUP(N81,$D$19:$E$34,2,FALSE),0)</f>
        <v>0</v>
      </c>
      <c r="S81" s="255">
        <f>IF(S67&gt;0,R81*S67,99999999)</f>
        <v>99999999</v>
      </c>
      <c r="T81" s="262" t="str">
        <f t="shared" si="6"/>
        <v/>
      </c>
      <c r="U81" s="262" t="str">
        <f t="shared" si="3"/>
        <v/>
      </c>
    </row>
    <row r="82" spans="10:21" ht="17.25" hidden="1" customHeight="1" outlineLevel="1" x14ac:dyDescent="0.15">
      <c r="J82" s="279"/>
      <c r="K82" s="280"/>
      <c r="L82" s="280"/>
      <c r="M82" s="281" t="s">
        <v>367</v>
      </c>
      <c r="N82" s="278" t="str">
        <f>IF(K67&amp;L67&lt;&gt;"",IF($D$34&lt;&gt;"",$D$34,""),"")</f>
        <v/>
      </c>
      <c r="O82" s="282"/>
      <c r="P82" s="271" t="str">
        <f t="shared" si="2"/>
        <v/>
      </c>
      <c r="Q82" s="283"/>
      <c r="R82" s="255">
        <f>IF(N82&lt;&gt;"",VLOOKUP(N82,$D$19:$E$34,2,FALSE),0)</f>
        <v>0</v>
      </c>
      <c r="S82" s="255">
        <f>IF(S67&gt;0,R82*S67,99999999)</f>
        <v>99999999</v>
      </c>
      <c r="T82" s="262" t="str">
        <f t="shared" si="6"/>
        <v/>
      </c>
      <c r="U82" s="262" t="str">
        <f t="shared" si="3"/>
        <v/>
      </c>
    </row>
    <row r="83" spans="10:21" ht="17.25" customHeight="1" collapsed="1" x14ac:dyDescent="0.15">
      <c r="J83" s="256">
        <v>5</v>
      </c>
      <c r="K83" s="285"/>
      <c r="L83" s="257"/>
      <c r="M83" s="258" t="s">
        <v>366</v>
      </c>
      <c r="N83" s="259" t="str">
        <f>IF(K83&amp;L83&lt;&gt;"",IF($D$19&lt;&gt;"",$D$19,""),"")</f>
        <v/>
      </c>
      <c r="O83" s="257"/>
      <c r="P83" s="260" t="str">
        <f t="shared" ref="P83:P146" si="9">IF(ISERROR(ROUND(Q83/O83,0)),"",ROUND(Q83/O83,0))</f>
        <v/>
      </c>
      <c r="Q83" s="261"/>
      <c r="R83" s="255">
        <f t="shared" ref="R83:R93" si="10">IF(N83&lt;&gt;"",VLOOKUP(N83,$D$19:$E$29,2,FALSE),0)</f>
        <v>0</v>
      </c>
      <c r="S83" s="255">
        <f>IF($E$19&gt;0,IF(MOD(O83,$E$19)=0,O83/$E$19,-1),-1)</f>
        <v>-1</v>
      </c>
      <c r="T83" s="262" t="str">
        <f>IF(N83&lt;&gt;"",IF(O83&lt;&gt;"",IF(S83&gt;0,"OK","数量が不足しています"),"数量が未入力です"),"")</f>
        <v/>
      </c>
      <c r="U83" s="262" t="str">
        <f t="shared" ref="U83:U146" si="11">IF(O83&lt;&gt;"",IF(Q83&lt;&gt;"","OK","未入力です"),"")</f>
        <v/>
      </c>
    </row>
    <row r="84" spans="10:21" ht="17.25" customHeight="1" x14ac:dyDescent="0.15">
      <c r="J84" s="266"/>
      <c r="K84" s="267"/>
      <c r="L84" s="267"/>
      <c r="M84" s="268" t="s">
        <v>367</v>
      </c>
      <c r="N84" s="269" t="str">
        <f>IF(K83&amp;L83&lt;&gt;"",IF($D$20&lt;&gt;"",$D$20,""),"")</f>
        <v/>
      </c>
      <c r="O84" s="270"/>
      <c r="P84" s="271" t="str">
        <f t="shared" si="9"/>
        <v/>
      </c>
      <c r="Q84" s="272"/>
      <c r="R84" s="255">
        <f t="shared" si="10"/>
        <v>0</v>
      </c>
      <c r="S84" s="255">
        <f>IF(S83&gt;0,R84*S83,99999999)</f>
        <v>99999999</v>
      </c>
      <c r="T84" s="262" t="str">
        <f t="shared" ref="T84:T146" si="12">IF(N84&lt;&gt;"",IF(O84&lt;&gt;"",IF(O84&gt;=S84,"OK","数量が不足しています"),"数量が未入力です"),"")</f>
        <v/>
      </c>
      <c r="U84" s="262" t="str">
        <f t="shared" si="11"/>
        <v/>
      </c>
    </row>
    <row r="85" spans="10:21" ht="17.25" customHeight="1" x14ac:dyDescent="0.15">
      <c r="J85" s="266"/>
      <c r="K85" s="267"/>
      <c r="L85" s="267"/>
      <c r="M85" s="268" t="s">
        <v>367</v>
      </c>
      <c r="N85" s="269" t="str">
        <f>IF(K83&amp;L83&lt;&gt;"",IF($D$21&lt;&gt;"",$D$21,""),"")</f>
        <v/>
      </c>
      <c r="O85" s="270"/>
      <c r="P85" s="271" t="str">
        <f t="shared" si="9"/>
        <v/>
      </c>
      <c r="Q85" s="272"/>
      <c r="R85" s="255">
        <f t="shared" si="10"/>
        <v>0</v>
      </c>
      <c r="S85" s="255">
        <f>IF(S83&gt;0,R85*S83,99999999)</f>
        <v>99999999</v>
      </c>
      <c r="T85" s="262" t="str">
        <f t="shared" si="12"/>
        <v/>
      </c>
      <c r="U85" s="262" t="str">
        <f t="shared" si="11"/>
        <v/>
      </c>
    </row>
    <row r="86" spans="10:21" ht="17.25" customHeight="1" x14ac:dyDescent="0.15">
      <c r="J86" s="266"/>
      <c r="K86" s="267"/>
      <c r="L86" s="267"/>
      <c r="M86" s="268" t="s">
        <v>367</v>
      </c>
      <c r="N86" s="269" t="str">
        <f>IF(K83&amp;L83&lt;&gt;"",IF($D$22&lt;&gt;"",$D$22,""),"")</f>
        <v/>
      </c>
      <c r="O86" s="270"/>
      <c r="P86" s="271" t="str">
        <f t="shared" si="9"/>
        <v/>
      </c>
      <c r="Q86" s="272"/>
      <c r="R86" s="255">
        <f t="shared" si="10"/>
        <v>0</v>
      </c>
      <c r="S86" s="255">
        <f>IF(S83&gt;0,R86*S83,99999999)</f>
        <v>99999999</v>
      </c>
      <c r="T86" s="262" t="str">
        <f t="shared" si="12"/>
        <v/>
      </c>
      <c r="U86" s="262" t="str">
        <f t="shared" si="11"/>
        <v/>
      </c>
    </row>
    <row r="87" spans="10:21" ht="17.25" customHeight="1" x14ac:dyDescent="0.15">
      <c r="J87" s="266"/>
      <c r="K87" s="267"/>
      <c r="L87" s="267"/>
      <c r="M87" s="268" t="s">
        <v>367</v>
      </c>
      <c r="N87" s="269" t="str">
        <f>IF(K83&amp;L83&lt;&gt;"",IF($D$23&lt;&gt;"",$D$23,""),"")</f>
        <v/>
      </c>
      <c r="O87" s="270"/>
      <c r="P87" s="271" t="str">
        <f t="shared" si="9"/>
        <v/>
      </c>
      <c r="Q87" s="272"/>
      <c r="R87" s="255">
        <f t="shared" si="10"/>
        <v>0</v>
      </c>
      <c r="S87" s="255">
        <f>IF(S83&gt;0,R87*S83,99999999)</f>
        <v>99999999</v>
      </c>
      <c r="T87" s="262" t="str">
        <f t="shared" si="12"/>
        <v/>
      </c>
      <c r="U87" s="262" t="str">
        <f t="shared" si="11"/>
        <v/>
      </c>
    </row>
    <row r="88" spans="10:21" ht="17.25" customHeight="1" x14ac:dyDescent="0.15">
      <c r="J88" s="266"/>
      <c r="K88" s="267"/>
      <c r="L88" s="267"/>
      <c r="M88" s="268" t="s">
        <v>367</v>
      </c>
      <c r="N88" s="269" t="str">
        <f>IF(K83&amp;L83&lt;&gt;"",IF($D$24&lt;&gt;"",$D$24,""),"")</f>
        <v/>
      </c>
      <c r="O88" s="270"/>
      <c r="P88" s="271" t="str">
        <f t="shared" si="9"/>
        <v/>
      </c>
      <c r="Q88" s="272"/>
      <c r="R88" s="255">
        <f t="shared" si="10"/>
        <v>0</v>
      </c>
      <c r="S88" s="255">
        <f>IF(S83&gt;0,R88*S83,99999999)</f>
        <v>99999999</v>
      </c>
      <c r="T88" s="262" t="str">
        <f t="shared" si="12"/>
        <v/>
      </c>
      <c r="U88" s="262" t="str">
        <f t="shared" si="11"/>
        <v/>
      </c>
    </row>
    <row r="89" spans="10:21" ht="17.25" customHeight="1" x14ac:dyDescent="0.15">
      <c r="J89" s="266"/>
      <c r="K89" s="267"/>
      <c r="L89" s="267"/>
      <c r="M89" s="268" t="s">
        <v>367</v>
      </c>
      <c r="N89" s="269" t="str">
        <f>IF(K83&amp;L83&lt;&gt;"",IF($D$25&lt;&gt;"",$D$25,""),"")</f>
        <v/>
      </c>
      <c r="O89" s="270"/>
      <c r="P89" s="271" t="str">
        <f t="shared" si="9"/>
        <v/>
      </c>
      <c r="Q89" s="272"/>
      <c r="R89" s="255">
        <f t="shared" si="10"/>
        <v>0</v>
      </c>
      <c r="S89" s="255">
        <f>IF(S83&gt;0,R89*S83,99999999)</f>
        <v>99999999</v>
      </c>
      <c r="T89" s="262" t="str">
        <f t="shared" si="12"/>
        <v/>
      </c>
      <c r="U89" s="262" t="str">
        <f t="shared" si="11"/>
        <v/>
      </c>
    </row>
    <row r="90" spans="10:21" ht="17.25" customHeight="1" x14ac:dyDescent="0.15">
      <c r="J90" s="266"/>
      <c r="K90" s="267"/>
      <c r="L90" s="267"/>
      <c r="M90" s="268" t="s">
        <v>367</v>
      </c>
      <c r="N90" s="269" t="str">
        <f>IF(K83&amp;L83&lt;&gt;"",IF($D$26&lt;&gt;"",$D$26,""),"")</f>
        <v/>
      </c>
      <c r="O90" s="270"/>
      <c r="P90" s="271" t="str">
        <f t="shared" si="9"/>
        <v/>
      </c>
      <c r="Q90" s="272"/>
      <c r="R90" s="255">
        <f t="shared" si="10"/>
        <v>0</v>
      </c>
      <c r="S90" s="255">
        <f>IF(S83&gt;0,R90*S83,99999999)</f>
        <v>99999999</v>
      </c>
      <c r="T90" s="262" t="str">
        <f t="shared" si="12"/>
        <v/>
      </c>
      <c r="U90" s="262" t="str">
        <f t="shared" si="11"/>
        <v/>
      </c>
    </row>
    <row r="91" spans="10:21" ht="17.25" customHeight="1" x14ac:dyDescent="0.15">
      <c r="J91" s="266"/>
      <c r="K91" s="267"/>
      <c r="L91" s="267"/>
      <c r="M91" s="268" t="s">
        <v>367</v>
      </c>
      <c r="N91" s="269" t="str">
        <f>IF(K83&amp;L83&lt;&gt;"",IF($D$27&lt;&gt;"",$D$27,""),"")</f>
        <v/>
      </c>
      <c r="O91" s="270"/>
      <c r="P91" s="271" t="str">
        <f t="shared" si="9"/>
        <v/>
      </c>
      <c r="Q91" s="272"/>
      <c r="R91" s="255">
        <f t="shared" si="10"/>
        <v>0</v>
      </c>
      <c r="S91" s="255">
        <f>IF(S83&gt;0,R91*S83,99999999)</f>
        <v>99999999</v>
      </c>
      <c r="T91" s="262" t="str">
        <f t="shared" si="12"/>
        <v/>
      </c>
      <c r="U91" s="262" t="str">
        <f t="shared" si="11"/>
        <v/>
      </c>
    </row>
    <row r="92" spans="10:21" ht="17.25" customHeight="1" x14ac:dyDescent="0.15">
      <c r="J92" s="266"/>
      <c r="K92" s="267"/>
      <c r="L92" s="267"/>
      <c r="M92" s="268" t="s">
        <v>367</v>
      </c>
      <c r="N92" s="269" t="str">
        <f>IF(K83&amp;L83&lt;&gt;"",IF($D$28&lt;&gt;"",$D$28,""),"")</f>
        <v/>
      </c>
      <c r="O92" s="270"/>
      <c r="P92" s="271" t="str">
        <f t="shared" si="9"/>
        <v/>
      </c>
      <c r="Q92" s="272"/>
      <c r="R92" s="255">
        <f t="shared" si="10"/>
        <v>0</v>
      </c>
      <c r="S92" s="255">
        <f>IF(S83&gt;0,R92*S83,99999999)</f>
        <v>99999999</v>
      </c>
      <c r="T92" s="262" t="str">
        <f t="shared" si="12"/>
        <v/>
      </c>
      <c r="U92" s="262" t="str">
        <f t="shared" si="11"/>
        <v/>
      </c>
    </row>
    <row r="93" spans="10:21" ht="17.25" customHeight="1" x14ac:dyDescent="0.15">
      <c r="J93" s="266"/>
      <c r="K93" s="267"/>
      <c r="L93" s="267"/>
      <c r="M93" s="268" t="s">
        <v>367</v>
      </c>
      <c r="N93" s="269" t="str">
        <f>IF(K83&amp;L83&lt;&gt;"",IF($D$29&lt;&gt;"",$D$29,""),"")</f>
        <v/>
      </c>
      <c r="O93" s="270"/>
      <c r="P93" s="271" t="str">
        <f t="shared" si="9"/>
        <v/>
      </c>
      <c r="Q93" s="272"/>
      <c r="R93" s="255">
        <f t="shared" si="10"/>
        <v>0</v>
      </c>
      <c r="S93" s="255">
        <f>IF(S83&gt;0,R93*S83,99999999)</f>
        <v>99999999</v>
      </c>
      <c r="T93" s="262" t="str">
        <f t="shared" si="12"/>
        <v/>
      </c>
      <c r="U93" s="262" t="str">
        <f t="shared" si="11"/>
        <v/>
      </c>
    </row>
    <row r="94" spans="10:21" ht="17.25" hidden="1" customHeight="1" outlineLevel="1" x14ac:dyDescent="0.15">
      <c r="J94" s="266"/>
      <c r="K94" s="267"/>
      <c r="L94" s="267"/>
      <c r="M94" s="268" t="s">
        <v>367</v>
      </c>
      <c r="N94" s="269" t="str">
        <f>IF(K83&amp;L83&lt;&gt;"",IF($D$30&lt;&gt;"",$D$30,""),"")</f>
        <v/>
      </c>
      <c r="O94" s="270"/>
      <c r="P94" s="271" t="str">
        <f t="shared" si="9"/>
        <v/>
      </c>
      <c r="Q94" s="272"/>
      <c r="R94" s="255">
        <f>IF(N94&lt;&gt;"",VLOOKUP(N94,$D$19:$E$34,2,FALSE),0)</f>
        <v>0</v>
      </c>
      <c r="S94" s="255">
        <f>IF(S83&gt;0,R94*S83,99999999)</f>
        <v>99999999</v>
      </c>
      <c r="T94" s="262" t="str">
        <f t="shared" si="12"/>
        <v/>
      </c>
      <c r="U94" s="262" t="str">
        <f t="shared" si="11"/>
        <v/>
      </c>
    </row>
    <row r="95" spans="10:21" ht="17.25" hidden="1" customHeight="1" outlineLevel="1" x14ac:dyDescent="0.15">
      <c r="J95" s="266"/>
      <c r="K95" s="267"/>
      <c r="L95" s="267"/>
      <c r="M95" s="268" t="s">
        <v>367</v>
      </c>
      <c r="N95" s="269" t="str">
        <f>IF(K83&amp;L83&lt;&gt;"",IF($D$31&lt;&gt;"",$D$31,""),"")</f>
        <v/>
      </c>
      <c r="O95" s="270"/>
      <c r="P95" s="271" t="str">
        <f t="shared" si="9"/>
        <v/>
      </c>
      <c r="Q95" s="272"/>
      <c r="R95" s="255">
        <f>IF(N95&lt;&gt;"",VLOOKUP(N95,$D$19:$E$34,2,FALSE),0)</f>
        <v>0</v>
      </c>
      <c r="S95" s="255">
        <f>IF(S83&gt;0,R95*S83,99999999)</f>
        <v>99999999</v>
      </c>
      <c r="T95" s="262" t="str">
        <f t="shared" si="12"/>
        <v/>
      </c>
      <c r="U95" s="262" t="str">
        <f t="shared" si="11"/>
        <v/>
      </c>
    </row>
    <row r="96" spans="10:21" ht="17.25" hidden="1" customHeight="1" outlineLevel="1" x14ac:dyDescent="0.15">
      <c r="J96" s="266"/>
      <c r="K96" s="267"/>
      <c r="L96" s="267"/>
      <c r="M96" s="268" t="s">
        <v>367</v>
      </c>
      <c r="N96" s="269" t="str">
        <f>IF(K83&amp;L83&lt;&gt;"",IF($D$32&lt;&gt;"",$D$32,""),"")</f>
        <v/>
      </c>
      <c r="O96" s="270"/>
      <c r="P96" s="271" t="str">
        <f t="shared" si="9"/>
        <v/>
      </c>
      <c r="Q96" s="272"/>
      <c r="R96" s="255">
        <f>IF(N96&lt;&gt;"",VLOOKUP(N96,$D$19:$E$34,2,FALSE),0)</f>
        <v>0</v>
      </c>
      <c r="S96" s="255">
        <f>IF(S83&gt;0,R96*S83,99999999)</f>
        <v>99999999</v>
      </c>
      <c r="T96" s="262" t="str">
        <f t="shared" si="12"/>
        <v/>
      </c>
      <c r="U96" s="262" t="str">
        <f t="shared" si="11"/>
        <v/>
      </c>
    </row>
    <row r="97" spans="10:21" ht="17.25" hidden="1" customHeight="1" outlineLevel="1" x14ac:dyDescent="0.15">
      <c r="J97" s="266"/>
      <c r="K97" s="267"/>
      <c r="L97" s="267"/>
      <c r="M97" s="268" t="s">
        <v>367</v>
      </c>
      <c r="N97" s="269" t="str">
        <f>IF(K83&amp;L83&lt;&gt;"",IF($D$33&lt;&gt;"",$D$33,""),"")</f>
        <v/>
      </c>
      <c r="O97" s="270"/>
      <c r="P97" s="271" t="str">
        <f t="shared" si="9"/>
        <v/>
      </c>
      <c r="Q97" s="272"/>
      <c r="R97" s="255">
        <f>IF(N97&lt;&gt;"",VLOOKUP(N97,$D$19:$E$34,2,FALSE),0)</f>
        <v>0</v>
      </c>
      <c r="S97" s="255">
        <f>IF(S83&gt;0,R97*S83,99999999)</f>
        <v>99999999</v>
      </c>
      <c r="T97" s="262" t="str">
        <f t="shared" si="12"/>
        <v/>
      </c>
      <c r="U97" s="262" t="str">
        <f t="shared" si="11"/>
        <v/>
      </c>
    </row>
    <row r="98" spans="10:21" ht="17.25" hidden="1" customHeight="1" outlineLevel="1" x14ac:dyDescent="0.15">
      <c r="J98" s="279"/>
      <c r="K98" s="280"/>
      <c r="L98" s="280"/>
      <c r="M98" s="281" t="s">
        <v>367</v>
      </c>
      <c r="N98" s="278" t="str">
        <f>IF(K83&amp;L83&lt;&gt;"",IF($D$34&lt;&gt;"",$D$34,""),"")</f>
        <v/>
      </c>
      <c r="O98" s="282"/>
      <c r="P98" s="297" t="str">
        <f t="shared" si="9"/>
        <v/>
      </c>
      <c r="Q98" s="283"/>
      <c r="R98" s="255">
        <f>IF(N98&lt;&gt;"",VLOOKUP(N98,$D$19:$E$34,2,FALSE),0)</f>
        <v>0</v>
      </c>
      <c r="S98" s="255">
        <f>IF(S83&gt;0,R98*S83,99999999)</f>
        <v>99999999</v>
      </c>
      <c r="T98" s="262" t="str">
        <f t="shared" si="12"/>
        <v/>
      </c>
      <c r="U98" s="262" t="str">
        <f t="shared" si="11"/>
        <v/>
      </c>
    </row>
    <row r="99" spans="10:21" ht="17.25" customHeight="1" collapsed="1" x14ac:dyDescent="0.15">
      <c r="J99" s="256">
        <v>6</v>
      </c>
      <c r="K99" s="257"/>
      <c r="L99" s="257"/>
      <c r="M99" s="258" t="s">
        <v>366</v>
      </c>
      <c r="N99" s="259" t="str">
        <f>IF(K99&amp;L99&lt;&gt;"",IF($D$19&lt;&gt;"",$D$19,""),"")</f>
        <v/>
      </c>
      <c r="O99" s="257"/>
      <c r="P99" s="260" t="str">
        <f t="shared" si="9"/>
        <v/>
      </c>
      <c r="Q99" s="261"/>
      <c r="R99" s="255">
        <f t="shared" ref="R99:R109" si="13">IF(N99&lt;&gt;"",VLOOKUP(N99,$D$19:$E$29,2,FALSE),0)</f>
        <v>0</v>
      </c>
      <c r="S99" s="255">
        <f>IF($E$19&gt;0,IF(MOD(O99,$E$19)=0,O99/$E$19,-1),-1)</f>
        <v>-1</v>
      </c>
      <c r="T99" s="262" t="str">
        <f>IF(N99&lt;&gt;"",IF(O99&lt;&gt;"",IF(S99&gt;0,"OK","数量が不足しています"),"数量が未入力です"),"")</f>
        <v/>
      </c>
      <c r="U99" s="262" t="str">
        <f t="shared" si="11"/>
        <v/>
      </c>
    </row>
    <row r="100" spans="10:21" ht="17.25" customHeight="1" x14ac:dyDescent="0.15">
      <c r="J100" s="266"/>
      <c r="K100" s="267"/>
      <c r="L100" s="267"/>
      <c r="M100" s="268" t="s">
        <v>367</v>
      </c>
      <c r="N100" s="269" t="str">
        <f>IF(K99&amp;L99&lt;&gt;"",IF($D$20&lt;&gt;"",$D$20,""),"")</f>
        <v/>
      </c>
      <c r="O100" s="270"/>
      <c r="P100" s="271" t="str">
        <f t="shared" si="9"/>
        <v/>
      </c>
      <c r="Q100" s="272"/>
      <c r="R100" s="255">
        <f t="shared" si="13"/>
        <v>0</v>
      </c>
      <c r="S100" s="255">
        <f>IF(S99&gt;0,R100*S99,99999999)</f>
        <v>99999999</v>
      </c>
      <c r="T100" s="262" t="str">
        <f t="shared" si="12"/>
        <v/>
      </c>
      <c r="U100" s="262" t="str">
        <f t="shared" si="11"/>
        <v/>
      </c>
    </row>
    <row r="101" spans="10:21" ht="17.25" customHeight="1" x14ac:dyDescent="0.15">
      <c r="J101" s="266"/>
      <c r="K101" s="267"/>
      <c r="L101" s="267"/>
      <c r="M101" s="268" t="s">
        <v>367</v>
      </c>
      <c r="N101" s="269" t="str">
        <f>IF(K99&amp;L99&lt;&gt;"",IF($D$21&lt;&gt;"",$D$21,""),"")</f>
        <v/>
      </c>
      <c r="O101" s="270"/>
      <c r="P101" s="271" t="str">
        <f t="shared" si="9"/>
        <v/>
      </c>
      <c r="Q101" s="272"/>
      <c r="R101" s="255">
        <f t="shared" si="13"/>
        <v>0</v>
      </c>
      <c r="S101" s="255">
        <f>IF(S99&gt;0,R101*S99,99999999)</f>
        <v>99999999</v>
      </c>
      <c r="T101" s="262" t="str">
        <f t="shared" si="12"/>
        <v/>
      </c>
      <c r="U101" s="262" t="str">
        <f t="shared" si="11"/>
        <v/>
      </c>
    </row>
    <row r="102" spans="10:21" ht="17.25" customHeight="1" x14ac:dyDescent="0.15">
      <c r="J102" s="266"/>
      <c r="K102" s="267"/>
      <c r="L102" s="267"/>
      <c r="M102" s="268" t="s">
        <v>367</v>
      </c>
      <c r="N102" s="269" t="str">
        <f>IF(K99&amp;L99&lt;&gt;"",IF($D$22&lt;&gt;"",$D$22,""),"")</f>
        <v/>
      </c>
      <c r="O102" s="270"/>
      <c r="P102" s="271" t="str">
        <f t="shared" si="9"/>
        <v/>
      </c>
      <c r="Q102" s="272"/>
      <c r="R102" s="255">
        <f t="shared" si="13"/>
        <v>0</v>
      </c>
      <c r="S102" s="255">
        <f>IF(S99&gt;0,R102*S99,99999999)</f>
        <v>99999999</v>
      </c>
      <c r="T102" s="262" t="str">
        <f t="shared" si="12"/>
        <v/>
      </c>
      <c r="U102" s="262" t="str">
        <f t="shared" si="11"/>
        <v/>
      </c>
    </row>
    <row r="103" spans="10:21" ht="17.25" customHeight="1" x14ac:dyDescent="0.15">
      <c r="J103" s="266"/>
      <c r="K103" s="267"/>
      <c r="L103" s="267"/>
      <c r="M103" s="268" t="s">
        <v>367</v>
      </c>
      <c r="N103" s="269" t="str">
        <f>IF(K99&amp;L99&lt;&gt;"",IF($D$23&lt;&gt;"",$D$23,""),"")</f>
        <v/>
      </c>
      <c r="O103" s="270"/>
      <c r="P103" s="271" t="str">
        <f t="shared" si="9"/>
        <v/>
      </c>
      <c r="Q103" s="272"/>
      <c r="R103" s="255">
        <f t="shared" si="13"/>
        <v>0</v>
      </c>
      <c r="S103" s="255">
        <f>IF(S99&gt;0,R103*S99,99999999)</f>
        <v>99999999</v>
      </c>
      <c r="T103" s="262" t="str">
        <f t="shared" si="12"/>
        <v/>
      </c>
      <c r="U103" s="262" t="str">
        <f t="shared" si="11"/>
        <v/>
      </c>
    </row>
    <row r="104" spans="10:21" ht="17.25" customHeight="1" x14ac:dyDescent="0.15">
      <c r="J104" s="266"/>
      <c r="K104" s="267"/>
      <c r="L104" s="267"/>
      <c r="M104" s="268" t="s">
        <v>367</v>
      </c>
      <c r="N104" s="269" t="str">
        <f>IF(K99&amp;L99&lt;&gt;"",IF($D$24&lt;&gt;"",$D$24,""),"")</f>
        <v/>
      </c>
      <c r="O104" s="270"/>
      <c r="P104" s="271" t="str">
        <f t="shared" si="9"/>
        <v/>
      </c>
      <c r="Q104" s="272"/>
      <c r="R104" s="255">
        <f t="shared" si="13"/>
        <v>0</v>
      </c>
      <c r="S104" s="255">
        <f>IF(S99&gt;0,R104*S99,99999999)</f>
        <v>99999999</v>
      </c>
      <c r="T104" s="262" t="str">
        <f t="shared" si="12"/>
        <v/>
      </c>
      <c r="U104" s="262" t="str">
        <f t="shared" si="11"/>
        <v/>
      </c>
    </row>
    <row r="105" spans="10:21" ht="17.25" customHeight="1" x14ac:dyDescent="0.15">
      <c r="J105" s="266"/>
      <c r="K105" s="267"/>
      <c r="L105" s="267"/>
      <c r="M105" s="268" t="s">
        <v>367</v>
      </c>
      <c r="N105" s="269" t="str">
        <f>IF(K99&amp;L99&lt;&gt;"",IF($D$25&lt;&gt;"",$D$25,""),"")</f>
        <v/>
      </c>
      <c r="O105" s="270"/>
      <c r="P105" s="271" t="str">
        <f t="shared" si="9"/>
        <v/>
      </c>
      <c r="Q105" s="272"/>
      <c r="R105" s="255">
        <f t="shared" si="13"/>
        <v>0</v>
      </c>
      <c r="S105" s="255">
        <f>IF(S99&gt;0,R105*S99,99999999)</f>
        <v>99999999</v>
      </c>
      <c r="T105" s="262" t="str">
        <f t="shared" si="12"/>
        <v/>
      </c>
      <c r="U105" s="262" t="str">
        <f t="shared" si="11"/>
        <v/>
      </c>
    </row>
    <row r="106" spans="10:21" ht="17.25" customHeight="1" x14ac:dyDescent="0.15">
      <c r="J106" s="266"/>
      <c r="K106" s="267"/>
      <c r="L106" s="267"/>
      <c r="M106" s="268" t="s">
        <v>367</v>
      </c>
      <c r="N106" s="269" t="str">
        <f>IF(K99&amp;L99&lt;&gt;"",IF($D$26&lt;&gt;"",$D$26,""),"")</f>
        <v/>
      </c>
      <c r="O106" s="270"/>
      <c r="P106" s="271" t="str">
        <f t="shared" si="9"/>
        <v/>
      </c>
      <c r="Q106" s="272"/>
      <c r="R106" s="255">
        <f t="shared" si="13"/>
        <v>0</v>
      </c>
      <c r="S106" s="255">
        <f>IF(S99&gt;0,R106*S99,99999999)</f>
        <v>99999999</v>
      </c>
      <c r="T106" s="262" t="str">
        <f t="shared" si="12"/>
        <v/>
      </c>
      <c r="U106" s="262" t="str">
        <f t="shared" si="11"/>
        <v/>
      </c>
    </row>
    <row r="107" spans="10:21" ht="17.25" customHeight="1" x14ac:dyDescent="0.15">
      <c r="J107" s="266"/>
      <c r="K107" s="267"/>
      <c r="L107" s="267"/>
      <c r="M107" s="268" t="s">
        <v>367</v>
      </c>
      <c r="N107" s="269" t="str">
        <f>IF(K99&amp;L99&lt;&gt;"",IF($D$27&lt;&gt;"",$D$27,""),"")</f>
        <v/>
      </c>
      <c r="O107" s="270"/>
      <c r="P107" s="271" t="str">
        <f t="shared" si="9"/>
        <v/>
      </c>
      <c r="Q107" s="272"/>
      <c r="R107" s="255">
        <f t="shared" si="13"/>
        <v>0</v>
      </c>
      <c r="S107" s="255">
        <f>IF(S99&gt;0,R107*S99,99999999)</f>
        <v>99999999</v>
      </c>
      <c r="T107" s="262" t="str">
        <f t="shared" si="12"/>
        <v/>
      </c>
      <c r="U107" s="262" t="str">
        <f t="shared" si="11"/>
        <v/>
      </c>
    </row>
    <row r="108" spans="10:21" ht="17.25" customHeight="1" x14ac:dyDescent="0.15">
      <c r="J108" s="266"/>
      <c r="K108" s="267"/>
      <c r="L108" s="267"/>
      <c r="M108" s="268" t="s">
        <v>367</v>
      </c>
      <c r="N108" s="269" t="str">
        <f>IF(K99&amp;L99&lt;&gt;"",IF($D$28&lt;&gt;"",$D$28,""),"")</f>
        <v/>
      </c>
      <c r="O108" s="270"/>
      <c r="P108" s="271" t="str">
        <f t="shared" si="9"/>
        <v/>
      </c>
      <c r="Q108" s="272"/>
      <c r="R108" s="255">
        <f t="shared" si="13"/>
        <v>0</v>
      </c>
      <c r="S108" s="255">
        <f>IF(S99&gt;0,R108*S99,99999999)</f>
        <v>99999999</v>
      </c>
      <c r="T108" s="262" t="str">
        <f t="shared" si="12"/>
        <v/>
      </c>
      <c r="U108" s="262" t="str">
        <f t="shared" si="11"/>
        <v/>
      </c>
    </row>
    <row r="109" spans="10:21" ht="17.25" customHeight="1" x14ac:dyDescent="0.15">
      <c r="J109" s="266"/>
      <c r="K109" s="267"/>
      <c r="L109" s="267"/>
      <c r="M109" s="268" t="s">
        <v>367</v>
      </c>
      <c r="N109" s="269" t="str">
        <f>IF(K99&amp;L99&lt;&gt;"",IF($D$29&lt;&gt;"",$D$29,""),"")</f>
        <v/>
      </c>
      <c r="O109" s="270"/>
      <c r="P109" s="271" t="str">
        <f t="shared" si="9"/>
        <v/>
      </c>
      <c r="Q109" s="272"/>
      <c r="R109" s="255">
        <f t="shared" si="13"/>
        <v>0</v>
      </c>
      <c r="S109" s="255">
        <f>IF(S99&gt;0,R109*S99,99999999)</f>
        <v>99999999</v>
      </c>
      <c r="T109" s="262" t="str">
        <f t="shared" si="12"/>
        <v/>
      </c>
      <c r="U109" s="262" t="str">
        <f t="shared" si="11"/>
        <v/>
      </c>
    </row>
    <row r="110" spans="10:21" ht="17.25" hidden="1" customHeight="1" outlineLevel="1" x14ac:dyDescent="0.15">
      <c r="J110" s="266"/>
      <c r="K110" s="267"/>
      <c r="L110" s="267"/>
      <c r="M110" s="268" t="s">
        <v>367</v>
      </c>
      <c r="N110" s="269" t="str">
        <f>IF(K99&amp;L99&lt;&gt;"",IF($D$30&lt;&gt;"",$D$30,""),"")</f>
        <v/>
      </c>
      <c r="O110" s="270"/>
      <c r="P110" s="271" t="str">
        <f t="shared" si="9"/>
        <v/>
      </c>
      <c r="Q110" s="272"/>
      <c r="R110" s="255">
        <f>IF(N110&lt;&gt;"",VLOOKUP(N110,$D$19:$E$34,2,FALSE),0)</f>
        <v>0</v>
      </c>
      <c r="S110" s="255">
        <f>IF(S99&gt;0,R110*S99,99999999)</f>
        <v>99999999</v>
      </c>
      <c r="T110" s="262" t="str">
        <f t="shared" si="12"/>
        <v/>
      </c>
      <c r="U110" s="262" t="str">
        <f t="shared" si="11"/>
        <v/>
      </c>
    </row>
    <row r="111" spans="10:21" ht="17.25" hidden="1" customHeight="1" outlineLevel="1" x14ac:dyDescent="0.15">
      <c r="J111" s="266"/>
      <c r="K111" s="267"/>
      <c r="L111" s="267"/>
      <c r="M111" s="268" t="s">
        <v>367</v>
      </c>
      <c r="N111" s="269" t="str">
        <f>IF(K99&amp;L99&lt;&gt;"",IF($D$31&lt;&gt;"",$D$31,""),"")</f>
        <v/>
      </c>
      <c r="O111" s="270"/>
      <c r="P111" s="271" t="str">
        <f t="shared" si="9"/>
        <v/>
      </c>
      <c r="Q111" s="272"/>
      <c r="R111" s="255">
        <f>IF(N111&lt;&gt;"",VLOOKUP(N111,$D$19:$E$34,2,FALSE),0)</f>
        <v>0</v>
      </c>
      <c r="S111" s="255">
        <f>IF(S99&gt;0,R111*S99,99999999)</f>
        <v>99999999</v>
      </c>
      <c r="T111" s="262" t="str">
        <f t="shared" si="12"/>
        <v/>
      </c>
      <c r="U111" s="262" t="str">
        <f t="shared" si="11"/>
        <v/>
      </c>
    </row>
    <row r="112" spans="10:21" ht="17.25" hidden="1" customHeight="1" outlineLevel="1" x14ac:dyDescent="0.15">
      <c r="J112" s="266"/>
      <c r="K112" s="267"/>
      <c r="L112" s="267"/>
      <c r="M112" s="268" t="s">
        <v>367</v>
      </c>
      <c r="N112" s="269" t="str">
        <f>IF(K99&amp;L99&lt;&gt;"",IF($D$32&lt;&gt;"",$D$32,""),"")</f>
        <v/>
      </c>
      <c r="O112" s="270"/>
      <c r="P112" s="271" t="str">
        <f t="shared" si="9"/>
        <v/>
      </c>
      <c r="Q112" s="272"/>
      <c r="R112" s="255">
        <f>IF(N112&lt;&gt;"",VLOOKUP(N112,$D$19:$E$34,2,FALSE),0)</f>
        <v>0</v>
      </c>
      <c r="S112" s="255">
        <f>IF(S99&gt;0,R112*S99,99999999)</f>
        <v>99999999</v>
      </c>
      <c r="T112" s="262" t="str">
        <f t="shared" si="12"/>
        <v/>
      </c>
      <c r="U112" s="262" t="str">
        <f t="shared" si="11"/>
        <v/>
      </c>
    </row>
    <row r="113" spans="10:21" ht="17.25" hidden="1" customHeight="1" outlineLevel="1" x14ac:dyDescent="0.15">
      <c r="J113" s="266"/>
      <c r="K113" s="267"/>
      <c r="L113" s="267"/>
      <c r="M113" s="268" t="s">
        <v>367</v>
      </c>
      <c r="N113" s="269" t="str">
        <f>IF(K99&amp;L99&lt;&gt;"",IF($D$33&lt;&gt;"",$D$33,""),"")</f>
        <v/>
      </c>
      <c r="O113" s="270"/>
      <c r="P113" s="271" t="str">
        <f t="shared" si="9"/>
        <v/>
      </c>
      <c r="Q113" s="272"/>
      <c r="R113" s="255">
        <f>IF(N113&lt;&gt;"",VLOOKUP(N113,$D$19:$E$34,2,FALSE),0)</f>
        <v>0</v>
      </c>
      <c r="S113" s="255">
        <f>IF(S99&gt;0,R113*S99,99999999)</f>
        <v>99999999</v>
      </c>
      <c r="T113" s="262" t="str">
        <f t="shared" si="12"/>
        <v/>
      </c>
      <c r="U113" s="262" t="str">
        <f t="shared" si="11"/>
        <v/>
      </c>
    </row>
    <row r="114" spans="10:21" ht="17.25" hidden="1" customHeight="1" outlineLevel="1" x14ac:dyDescent="0.15">
      <c r="J114" s="279"/>
      <c r="K114" s="280"/>
      <c r="L114" s="280"/>
      <c r="M114" s="281" t="s">
        <v>367</v>
      </c>
      <c r="N114" s="278" t="str">
        <f>IF(K99&amp;L99&lt;&gt;"",IF($D$34&lt;&gt;"",$D$34,""),"")</f>
        <v/>
      </c>
      <c r="O114" s="282"/>
      <c r="P114" s="271" t="str">
        <f t="shared" si="9"/>
        <v/>
      </c>
      <c r="Q114" s="283"/>
      <c r="R114" s="255">
        <f>IF(N114&lt;&gt;"",VLOOKUP(N114,$D$19:$E$34,2,FALSE),0)</f>
        <v>0</v>
      </c>
      <c r="S114" s="255">
        <f>IF(S99&gt;0,R114*S99,99999999)</f>
        <v>99999999</v>
      </c>
      <c r="T114" s="262" t="str">
        <f t="shared" si="12"/>
        <v/>
      </c>
      <c r="U114" s="262" t="str">
        <f t="shared" si="11"/>
        <v/>
      </c>
    </row>
    <row r="115" spans="10:21" ht="17.25" customHeight="1" collapsed="1" x14ac:dyDescent="0.15">
      <c r="J115" s="256">
        <v>7</v>
      </c>
      <c r="K115" s="257"/>
      <c r="L115" s="257"/>
      <c r="M115" s="258" t="s">
        <v>366</v>
      </c>
      <c r="N115" s="259" t="str">
        <f>IF(K115&amp;L115&lt;&gt;"",IF($D$19&lt;&gt;"",$D$19,""),"")</f>
        <v/>
      </c>
      <c r="O115" s="257"/>
      <c r="P115" s="260" t="str">
        <f t="shared" si="9"/>
        <v/>
      </c>
      <c r="Q115" s="261"/>
      <c r="R115" s="255">
        <f t="shared" ref="R115:R125" si="14">IF(N115&lt;&gt;"",VLOOKUP(N115,$D$19:$E$29,2,FALSE),0)</f>
        <v>0</v>
      </c>
      <c r="S115" s="255">
        <f>IF($E$19&gt;0,IF(MOD(O115,$E$19)=0,O115/$E$19,-1),-1)</f>
        <v>-1</v>
      </c>
      <c r="T115" s="262" t="str">
        <f>IF(N115&lt;&gt;"",IF(O115&lt;&gt;"",IF(S115&gt;0,"OK","数量が不足しています"),"数量が未入力です"),"")</f>
        <v/>
      </c>
      <c r="U115" s="262" t="str">
        <f t="shared" si="11"/>
        <v/>
      </c>
    </row>
    <row r="116" spans="10:21" ht="17.25" customHeight="1" x14ac:dyDescent="0.15">
      <c r="J116" s="266"/>
      <c r="K116" s="267"/>
      <c r="L116" s="267"/>
      <c r="M116" s="268" t="s">
        <v>367</v>
      </c>
      <c r="N116" s="269" t="str">
        <f>IF(K115&amp;L115&lt;&gt;"",IF($D$20&lt;&gt;"",$D$20,""),"")</f>
        <v/>
      </c>
      <c r="O116" s="270"/>
      <c r="P116" s="271" t="str">
        <f t="shared" si="9"/>
        <v/>
      </c>
      <c r="Q116" s="272"/>
      <c r="R116" s="255">
        <f t="shared" si="14"/>
        <v>0</v>
      </c>
      <c r="S116" s="255">
        <f>IF(S115&gt;0,R116*S115,99999999)</f>
        <v>99999999</v>
      </c>
      <c r="T116" s="262" t="str">
        <f t="shared" si="12"/>
        <v/>
      </c>
      <c r="U116" s="262" t="str">
        <f t="shared" si="11"/>
        <v/>
      </c>
    </row>
    <row r="117" spans="10:21" ht="17.25" customHeight="1" x14ac:dyDescent="0.15">
      <c r="J117" s="266"/>
      <c r="K117" s="267"/>
      <c r="L117" s="267"/>
      <c r="M117" s="268" t="s">
        <v>367</v>
      </c>
      <c r="N117" s="269" t="str">
        <f>IF(K115&amp;L115&lt;&gt;"",IF($D$21&lt;&gt;"",$D$21,""),"")</f>
        <v/>
      </c>
      <c r="O117" s="270"/>
      <c r="P117" s="271" t="str">
        <f t="shared" si="9"/>
        <v/>
      </c>
      <c r="Q117" s="272"/>
      <c r="R117" s="255">
        <f t="shared" si="14"/>
        <v>0</v>
      </c>
      <c r="S117" s="255">
        <f>IF(S115&gt;0,R117*S115,99999999)</f>
        <v>99999999</v>
      </c>
      <c r="T117" s="262" t="str">
        <f t="shared" si="12"/>
        <v/>
      </c>
      <c r="U117" s="262" t="str">
        <f t="shared" si="11"/>
        <v/>
      </c>
    </row>
    <row r="118" spans="10:21" ht="17.25" customHeight="1" x14ac:dyDescent="0.15">
      <c r="J118" s="266"/>
      <c r="K118" s="267"/>
      <c r="L118" s="267"/>
      <c r="M118" s="268" t="s">
        <v>367</v>
      </c>
      <c r="N118" s="269" t="str">
        <f>IF(K115&amp;L115&lt;&gt;"",IF($D$22&lt;&gt;"",$D$22,""),"")</f>
        <v/>
      </c>
      <c r="O118" s="270"/>
      <c r="P118" s="271" t="str">
        <f t="shared" si="9"/>
        <v/>
      </c>
      <c r="Q118" s="272"/>
      <c r="R118" s="255">
        <f t="shared" si="14"/>
        <v>0</v>
      </c>
      <c r="S118" s="255">
        <f>IF(S115&gt;0,R118*S115,99999999)</f>
        <v>99999999</v>
      </c>
      <c r="T118" s="262" t="str">
        <f t="shared" si="12"/>
        <v/>
      </c>
      <c r="U118" s="262" t="str">
        <f t="shared" si="11"/>
        <v/>
      </c>
    </row>
    <row r="119" spans="10:21" ht="17.25" customHeight="1" x14ac:dyDescent="0.15">
      <c r="J119" s="266"/>
      <c r="K119" s="267"/>
      <c r="L119" s="267"/>
      <c r="M119" s="268" t="s">
        <v>367</v>
      </c>
      <c r="N119" s="269" t="str">
        <f>IF(K115&amp;L115&lt;&gt;"",IF($D$23&lt;&gt;"",$D$23,""),"")</f>
        <v/>
      </c>
      <c r="O119" s="270"/>
      <c r="P119" s="271" t="str">
        <f t="shared" si="9"/>
        <v/>
      </c>
      <c r="Q119" s="272"/>
      <c r="R119" s="255">
        <f t="shared" si="14"/>
        <v>0</v>
      </c>
      <c r="S119" s="255">
        <f>IF(S115&gt;0,R119*S115,99999999)</f>
        <v>99999999</v>
      </c>
      <c r="T119" s="262" t="str">
        <f t="shared" si="12"/>
        <v/>
      </c>
      <c r="U119" s="262" t="str">
        <f t="shared" si="11"/>
        <v/>
      </c>
    </row>
    <row r="120" spans="10:21" ht="17.25" customHeight="1" x14ac:dyDescent="0.15">
      <c r="J120" s="266"/>
      <c r="K120" s="267"/>
      <c r="L120" s="267"/>
      <c r="M120" s="268" t="s">
        <v>367</v>
      </c>
      <c r="N120" s="269" t="str">
        <f>IF(K115&amp;L115&lt;&gt;"",IF($D$24&lt;&gt;"",$D$24,""),"")</f>
        <v/>
      </c>
      <c r="O120" s="270"/>
      <c r="P120" s="271" t="str">
        <f t="shared" si="9"/>
        <v/>
      </c>
      <c r="Q120" s="272"/>
      <c r="R120" s="255">
        <f t="shared" si="14"/>
        <v>0</v>
      </c>
      <c r="S120" s="255">
        <f>IF(S115&gt;0,R120*S115,99999999)</f>
        <v>99999999</v>
      </c>
      <c r="T120" s="262" t="str">
        <f t="shared" si="12"/>
        <v/>
      </c>
      <c r="U120" s="262" t="str">
        <f t="shared" si="11"/>
        <v/>
      </c>
    </row>
    <row r="121" spans="10:21" ht="17.25" customHeight="1" x14ac:dyDescent="0.15">
      <c r="J121" s="266"/>
      <c r="K121" s="267"/>
      <c r="L121" s="267"/>
      <c r="M121" s="268" t="s">
        <v>367</v>
      </c>
      <c r="N121" s="269" t="str">
        <f>IF(K115&amp;L115&lt;&gt;"",IF($D$25&lt;&gt;"",$D$25,""),"")</f>
        <v/>
      </c>
      <c r="O121" s="270"/>
      <c r="P121" s="271" t="str">
        <f t="shared" si="9"/>
        <v/>
      </c>
      <c r="Q121" s="272"/>
      <c r="R121" s="255">
        <f t="shared" si="14"/>
        <v>0</v>
      </c>
      <c r="S121" s="255">
        <f>IF(S115&gt;0,R121*S115,99999999)</f>
        <v>99999999</v>
      </c>
      <c r="T121" s="262" t="str">
        <f t="shared" si="12"/>
        <v/>
      </c>
      <c r="U121" s="262" t="str">
        <f t="shared" si="11"/>
        <v/>
      </c>
    </row>
    <row r="122" spans="10:21" ht="17.25" customHeight="1" x14ac:dyDescent="0.15">
      <c r="J122" s="266"/>
      <c r="K122" s="267"/>
      <c r="L122" s="267"/>
      <c r="M122" s="268" t="s">
        <v>367</v>
      </c>
      <c r="N122" s="269" t="str">
        <f>IF(K115&amp;L115&lt;&gt;"",IF($D$26&lt;&gt;"",$D$26,""),"")</f>
        <v/>
      </c>
      <c r="O122" s="270"/>
      <c r="P122" s="271" t="str">
        <f t="shared" si="9"/>
        <v/>
      </c>
      <c r="Q122" s="272"/>
      <c r="R122" s="255">
        <f t="shared" si="14"/>
        <v>0</v>
      </c>
      <c r="S122" s="255">
        <f>IF(S115&gt;0,R122*S115,99999999)</f>
        <v>99999999</v>
      </c>
      <c r="T122" s="262" t="str">
        <f t="shared" si="12"/>
        <v/>
      </c>
      <c r="U122" s="262" t="str">
        <f t="shared" si="11"/>
        <v/>
      </c>
    </row>
    <row r="123" spans="10:21" ht="17.25" customHeight="1" x14ac:dyDescent="0.15">
      <c r="J123" s="266"/>
      <c r="K123" s="267"/>
      <c r="L123" s="267"/>
      <c r="M123" s="268" t="s">
        <v>367</v>
      </c>
      <c r="N123" s="269" t="str">
        <f>IF(K115&amp;L115&lt;&gt;"",IF($D$27&lt;&gt;"",$D$27,""),"")</f>
        <v/>
      </c>
      <c r="O123" s="270"/>
      <c r="P123" s="271" t="str">
        <f t="shared" si="9"/>
        <v/>
      </c>
      <c r="Q123" s="272"/>
      <c r="R123" s="255">
        <f t="shared" si="14"/>
        <v>0</v>
      </c>
      <c r="S123" s="255">
        <f>IF(S115&gt;0,R123*S115,99999999)</f>
        <v>99999999</v>
      </c>
      <c r="T123" s="262" t="str">
        <f t="shared" si="12"/>
        <v/>
      </c>
      <c r="U123" s="262" t="str">
        <f t="shared" si="11"/>
        <v/>
      </c>
    </row>
    <row r="124" spans="10:21" ht="17.25" customHeight="1" x14ac:dyDescent="0.15">
      <c r="J124" s="266"/>
      <c r="K124" s="267"/>
      <c r="L124" s="267"/>
      <c r="M124" s="268" t="s">
        <v>367</v>
      </c>
      <c r="N124" s="269" t="str">
        <f>IF(K115&amp;L115&lt;&gt;"",IF($D$28&lt;&gt;"",$D$28,""),"")</f>
        <v/>
      </c>
      <c r="O124" s="270"/>
      <c r="P124" s="271" t="str">
        <f t="shared" si="9"/>
        <v/>
      </c>
      <c r="Q124" s="272"/>
      <c r="R124" s="255">
        <f t="shared" si="14"/>
        <v>0</v>
      </c>
      <c r="S124" s="255">
        <f>IF(S115&gt;0,R124*S115,99999999)</f>
        <v>99999999</v>
      </c>
      <c r="T124" s="262" t="str">
        <f t="shared" si="12"/>
        <v/>
      </c>
      <c r="U124" s="262" t="str">
        <f t="shared" si="11"/>
        <v/>
      </c>
    </row>
    <row r="125" spans="10:21" ht="17.25" customHeight="1" x14ac:dyDescent="0.15">
      <c r="J125" s="266"/>
      <c r="K125" s="267"/>
      <c r="L125" s="267"/>
      <c r="M125" s="268" t="s">
        <v>367</v>
      </c>
      <c r="N125" s="269" t="str">
        <f>IF(K115&amp;L115&lt;&gt;"",IF($D$29&lt;&gt;"",$D$29,""),"")</f>
        <v/>
      </c>
      <c r="O125" s="270"/>
      <c r="P125" s="271" t="str">
        <f t="shared" si="9"/>
        <v/>
      </c>
      <c r="Q125" s="272"/>
      <c r="R125" s="255">
        <f t="shared" si="14"/>
        <v>0</v>
      </c>
      <c r="S125" s="255">
        <f>IF(S115&gt;0,R125*S115,99999999)</f>
        <v>99999999</v>
      </c>
      <c r="T125" s="262" t="str">
        <f t="shared" si="12"/>
        <v/>
      </c>
      <c r="U125" s="262" t="str">
        <f t="shared" si="11"/>
        <v/>
      </c>
    </row>
    <row r="126" spans="10:21" ht="17.25" hidden="1" customHeight="1" outlineLevel="1" x14ac:dyDescent="0.15">
      <c r="J126" s="266"/>
      <c r="K126" s="267"/>
      <c r="L126" s="267"/>
      <c r="M126" s="268" t="s">
        <v>367</v>
      </c>
      <c r="N126" s="269" t="str">
        <f>IF(K115&amp;L115&lt;&gt;"",IF($D$30&lt;&gt;"",$D$30,""),"")</f>
        <v/>
      </c>
      <c r="O126" s="270"/>
      <c r="P126" s="271" t="str">
        <f t="shared" si="9"/>
        <v/>
      </c>
      <c r="Q126" s="272"/>
      <c r="R126" s="255">
        <f>IF(N126&lt;&gt;"",VLOOKUP(N126,$D$19:$E$34,2,FALSE),0)</f>
        <v>0</v>
      </c>
      <c r="S126" s="255">
        <f>IF(S115&gt;0,R126*S115,99999999)</f>
        <v>99999999</v>
      </c>
      <c r="T126" s="262" t="str">
        <f t="shared" si="12"/>
        <v/>
      </c>
      <c r="U126" s="262" t="str">
        <f t="shared" si="11"/>
        <v/>
      </c>
    </row>
    <row r="127" spans="10:21" ht="17.25" hidden="1" customHeight="1" outlineLevel="1" x14ac:dyDescent="0.15">
      <c r="J127" s="266"/>
      <c r="K127" s="267"/>
      <c r="L127" s="267"/>
      <c r="M127" s="268" t="s">
        <v>367</v>
      </c>
      <c r="N127" s="269" t="str">
        <f>IF(K115&amp;L115&lt;&gt;"",IF($D$31&lt;&gt;"",$D$31,""),"")</f>
        <v/>
      </c>
      <c r="O127" s="270"/>
      <c r="P127" s="271" t="str">
        <f t="shared" si="9"/>
        <v/>
      </c>
      <c r="Q127" s="272"/>
      <c r="R127" s="255">
        <f>IF(N127&lt;&gt;"",VLOOKUP(N127,$D$19:$E$34,2,FALSE),0)</f>
        <v>0</v>
      </c>
      <c r="S127" s="255">
        <f>IF(S115&gt;0,R127*S115,99999999)</f>
        <v>99999999</v>
      </c>
      <c r="T127" s="262" t="str">
        <f t="shared" si="12"/>
        <v/>
      </c>
      <c r="U127" s="262" t="str">
        <f t="shared" si="11"/>
        <v/>
      </c>
    </row>
    <row r="128" spans="10:21" ht="17.25" hidden="1" customHeight="1" outlineLevel="1" x14ac:dyDescent="0.15">
      <c r="J128" s="266"/>
      <c r="K128" s="267"/>
      <c r="L128" s="267"/>
      <c r="M128" s="268" t="s">
        <v>367</v>
      </c>
      <c r="N128" s="269" t="str">
        <f>IF(K115&amp;L115&lt;&gt;"",IF($D$32&lt;&gt;"",$D$32,""),"")</f>
        <v/>
      </c>
      <c r="O128" s="270"/>
      <c r="P128" s="271" t="str">
        <f t="shared" si="9"/>
        <v/>
      </c>
      <c r="Q128" s="272"/>
      <c r="R128" s="255">
        <f>IF(N128&lt;&gt;"",VLOOKUP(N128,$D$19:$E$34,2,FALSE),0)</f>
        <v>0</v>
      </c>
      <c r="S128" s="255">
        <f>IF(S115&gt;0,R128*S115,99999999)</f>
        <v>99999999</v>
      </c>
      <c r="T128" s="262" t="str">
        <f t="shared" si="12"/>
        <v/>
      </c>
      <c r="U128" s="262" t="str">
        <f t="shared" si="11"/>
        <v/>
      </c>
    </row>
    <row r="129" spans="10:21" ht="17.25" hidden="1" customHeight="1" outlineLevel="1" x14ac:dyDescent="0.15">
      <c r="J129" s="266"/>
      <c r="K129" s="267"/>
      <c r="L129" s="267"/>
      <c r="M129" s="268" t="s">
        <v>367</v>
      </c>
      <c r="N129" s="269" t="str">
        <f>IF(K115&amp;L115&lt;&gt;"",IF($D$33&lt;&gt;"",$D$33,""),"")</f>
        <v/>
      </c>
      <c r="O129" s="270"/>
      <c r="P129" s="271" t="str">
        <f t="shared" si="9"/>
        <v/>
      </c>
      <c r="Q129" s="272"/>
      <c r="R129" s="255">
        <f>IF(N129&lt;&gt;"",VLOOKUP(N129,$D$19:$E$34,2,FALSE),0)</f>
        <v>0</v>
      </c>
      <c r="S129" s="255">
        <f>IF(S115&gt;0,R129*S115,99999999)</f>
        <v>99999999</v>
      </c>
      <c r="T129" s="262" t="str">
        <f t="shared" si="12"/>
        <v/>
      </c>
      <c r="U129" s="262" t="str">
        <f t="shared" si="11"/>
        <v/>
      </c>
    </row>
    <row r="130" spans="10:21" ht="17.25" hidden="1" customHeight="1" outlineLevel="1" x14ac:dyDescent="0.15">
      <c r="J130" s="279"/>
      <c r="K130" s="280"/>
      <c r="L130" s="280"/>
      <c r="M130" s="281" t="s">
        <v>367</v>
      </c>
      <c r="N130" s="278" t="str">
        <f>IF(K115&amp;L115&lt;&gt;"",IF($D$34&lt;&gt;"",$D$34,""),"")</f>
        <v/>
      </c>
      <c r="O130" s="282"/>
      <c r="P130" s="271" t="str">
        <f t="shared" si="9"/>
        <v/>
      </c>
      <c r="Q130" s="283"/>
      <c r="R130" s="255">
        <f>IF(N130&lt;&gt;"",VLOOKUP(N130,$D$19:$E$34,2,FALSE),0)</f>
        <v>0</v>
      </c>
      <c r="S130" s="255">
        <f>IF(S115&gt;0,R130*S115,99999999)</f>
        <v>99999999</v>
      </c>
      <c r="T130" s="262" t="str">
        <f t="shared" si="12"/>
        <v/>
      </c>
      <c r="U130" s="262" t="str">
        <f t="shared" si="11"/>
        <v/>
      </c>
    </row>
    <row r="131" spans="10:21" ht="17.25" customHeight="1" collapsed="1" x14ac:dyDescent="0.15">
      <c r="J131" s="256">
        <v>8</v>
      </c>
      <c r="K131" s="257"/>
      <c r="L131" s="257"/>
      <c r="M131" s="258" t="s">
        <v>366</v>
      </c>
      <c r="N131" s="259" t="str">
        <f>IF(K131&amp;L131&lt;&gt;"",IF($D$19&lt;&gt;"",$D$19,""),"")</f>
        <v/>
      </c>
      <c r="O131" s="257"/>
      <c r="P131" s="260" t="str">
        <f t="shared" si="9"/>
        <v/>
      </c>
      <c r="Q131" s="261"/>
      <c r="R131" s="255">
        <f t="shared" ref="R131:R141" si="15">IF(N131&lt;&gt;"",VLOOKUP(N131,$D$19:$E$29,2,FALSE),0)</f>
        <v>0</v>
      </c>
      <c r="S131" s="255">
        <f>IF($E$19&gt;0,IF(MOD(O131,$E$19)=0,O131/$E$19,-1),-1)</f>
        <v>-1</v>
      </c>
      <c r="T131" s="262" t="str">
        <f>IF(N131&lt;&gt;"",IF(O131&lt;&gt;"",IF(S131&gt;0,"OK","数量が不足しています"),"数量が未入力です"),"")</f>
        <v/>
      </c>
      <c r="U131" s="262" t="str">
        <f t="shared" si="11"/>
        <v/>
      </c>
    </row>
    <row r="132" spans="10:21" ht="17.25" customHeight="1" x14ac:dyDescent="0.15">
      <c r="J132" s="266"/>
      <c r="K132" s="267"/>
      <c r="L132" s="267"/>
      <c r="M132" s="268" t="s">
        <v>367</v>
      </c>
      <c r="N132" s="269" t="str">
        <f>IF(K131&amp;L131&lt;&gt;"",IF($D$20&lt;&gt;"",$D$20,""),"")</f>
        <v/>
      </c>
      <c r="O132" s="270"/>
      <c r="P132" s="271" t="str">
        <f t="shared" si="9"/>
        <v/>
      </c>
      <c r="Q132" s="272"/>
      <c r="R132" s="255">
        <f t="shared" si="15"/>
        <v>0</v>
      </c>
      <c r="S132" s="255">
        <f>IF(S131&gt;0,R132*S131,99999999)</f>
        <v>99999999</v>
      </c>
      <c r="T132" s="262" t="str">
        <f t="shared" si="12"/>
        <v/>
      </c>
      <c r="U132" s="262" t="str">
        <f t="shared" si="11"/>
        <v/>
      </c>
    </row>
    <row r="133" spans="10:21" ht="17.25" customHeight="1" x14ac:dyDescent="0.15">
      <c r="J133" s="266"/>
      <c r="K133" s="267"/>
      <c r="L133" s="267"/>
      <c r="M133" s="268" t="s">
        <v>367</v>
      </c>
      <c r="N133" s="269" t="str">
        <f>IF(K131&amp;L131&lt;&gt;"",IF($D$21&lt;&gt;"",$D$21,""),"")</f>
        <v/>
      </c>
      <c r="O133" s="270"/>
      <c r="P133" s="271" t="str">
        <f t="shared" si="9"/>
        <v/>
      </c>
      <c r="Q133" s="272"/>
      <c r="R133" s="255">
        <f t="shared" si="15"/>
        <v>0</v>
      </c>
      <c r="S133" s="255">
        <f>IF(S131&gt;0,R133*S131,99999999)</f>
        <v>99999999</v>
      </c>
      <c r="T133" s="262" t="str">
        <f t="shared" si="12"/>
        <v/>
      </c>
      <c r="U133" s="262" t="str">
        <f t="shared" si="11"/>
        <v/>
      </c>
    </row>
    <row r="134" spans="10:21" ht="17.25" customHeight="1" x14ac:dyDescent="0.15">
      <c r="J134" s="266"/>
      <c r="K134" s="267"/>
      <c r="L134" s="267"/>
      <c r="M134" s="268" t="s">
        <v>367</v>
      </c>
      <c r="N134" s="269" t="str">
        <f>IF(K131&amp;L131&lt;&gt;"",IF($D$22&lt;&gt;"",$D$22,""),"")</f>
        <v/>
      </c>
      <c r="O134" s="270"/>
      <c r="P134" s="271" t="str">
        <f t="shared" si="9"/>
        <v/>
      </c>
      <c r="Q134" s="272"/>
      <c r="R134" s="255">
        <f t="shared" si="15"/>
        <v>0</v>
      </c>
      <c r="S134" s="255">
        <f>IF(S131&gt;0,R134*S131,99999999)</f>
        <v>99999999</v>
      </c>
      <c r="T134" s="262" t="str">
        <f t="shared" si="12"/>
        <v/>
      </c>
      <c r="U134" s="262" t="str">
        <f t="shared" si="11"/>
        <v/>
      </c>
    </row>
    <row r="135" spans="10:21" ht="17.25" customHeight="1" x14ac:dyDescent="0.15">
      <c r="J135" s="266"/>
      <c r="K135" s="267"/>
      <c r="L135" s="267"/>
      <c r="M135" s="268" t="s">
        <v>367</v>
      </c>
      <c r="N135" s="269" t="str">
        <f>IF(K131&amp;L131&lt;&gt;"",IF($D$23&lt;&gt;"",$D$23,""),"")</f>
        <v/>
      </c>
      <c r="O135" s="270"/>
      <c r="P135" s="271" t="str">
        <f t="shared" si="9"/>
        <v/>
      </c>
      <c r="Q135" s="272"/>
      <c r="R135" s="255">
        <f t="shared" si="15"/>
        <v>0</v>
      </c>
      <c r="S135" s="255">
        <f>IF(S131&gt;0,R135*S131,99999999)</f>
        <v>99999999</v>
      </c>
      <c r="T135" s="262" t="str">
        <f t="shared" si="12"/>
        <v/>
      </c>
      <c r="U135" s="262" t="str">
        <f t="shared" si="11"/>
        <v/>
      </c>
    </row>
    <row r="136" spans="10:21" ht="17.25" customHeight="1" x14ac:dyDescent="0.15">
      <c r="J136" s="266"/>
      <c r="K136" s="267"/>
      <c r="L136" s="267"/>
      <c r="M136" s="268" t="s">
        <v>367</v>
      </c>
      <c r="N136" s="269" t="str">
        <f>IF(K131&amp;L131&lt;&gt;"",IF($D$24&lt;&gt;"",$D$24,""),"")</f>
        <v/>
      </c>
      <c r="O136" s="270"/>
      <c r="P136" s="271" t="str">
        <f t="shared" si="9"/>
        <v/>
      </c>
      <c r="Q136" s="272"/>
      <c r="R136" s="255">
        <f t="shared" si="15"/>
        <v>0</v>
      </c>
      <c r="S136" s="255">
        <f>IF(S131&gt;0,R136*S131,99999999)</f>
        <v>99999999</v>
      </c>
      <c r="T136" s="262" t="str">
        <f t="shared" si="12"/>
        <v/>
      </c>
      <c r="U136" s="262" t="str">
        <f t="shared" si="11"/>
        <v/>
      </c>
    </row>
    <row r="137" spans="10:21" ht="17.25" customHeight="1" x14ac:dyDescent="0.15">
      <c r="J137" s="266"/>
      <c r="K137" s="267"/>
      <c r="L137" s="267"/>
      <c r="M137" s="268" t="s">
        <v>367</v>
      </c>
      <c r="N137" s="269" t="str">
        <f>IF(K131&amp;L131&lt;&gt;"",IF($D$25&lt;&gt;"",$D$25,""),"")</f>
        <v/>
      </c>
      <c r="O137" s="270"/>
      <c r="P137" s="271" t="str">
        <f t="shared" si="9"/>
        <v/>
      </c>
      <c r="Q137" s="272"/>
      <c r="R137" s="255">
        <f t="shared" si="15"/>
        <v>0</v>
      </c>
      <c r="S137" s="255">
        <f>IF(S131&gt;0,R137*S131,99999999)</f>
        <v>99999999</v>
      </c>
      <c r="T137" s="262" t="str">
        <f t="shared" si="12"/>
        <v/>
      </c>
      <c r="U137" s="262" t="str">
        <f t="shared" si="11"/>
        <v/>
      </c>
    </row>
    <row r="138" spans="10:21" ht="17.25" customHeight="1" x14ac:dyDescent="0.15">
      <c r="J138" s="266"/>
      <c r="K138" s="267"/>
      <c r="L138" s="267"/>
      <c r="M138" s="268" t="s">
        <v>367</v>
      </c>
      <c r="N138" s="269" t="str">
        <f>IF(K131&amp;L131&lt;&gt;"",IF($D$26&lt;&gt;"",$D$26,""),"")</f>
        <v/>
      </c>
      <c r="O138" s="270"/>
      <c r="P138" s="271" t="str">
        <f t="shared" si="9"/>
        <v/>
      </c>
      <c r="Q138" s="272"/>
      <c r="R138" s="255">
        <f t="shared" si="15"/>
        <v>0</v>
      </c>
      <c r="S138" s="255">
        <f>IF(S131&gt;0,R138*S131,99999999)</f>
        <v>99999999</v>
      </c>
      <c r="T138" s="262" t="str">
        <f t="shared" si="12"/>
        <v/>
      </c>
      <c r="U138" s="262" t="str">
        <f t="shared" si="11"/>
        <v/>
      </c>
    </row>
    <row r="139" spans="10:21" ht="17.25" customHeight="1" x14ac:dyDescent="0.15">
      <c r="J139" s="266"/>
      <c r="K139" s="267"/>
      <c r="L139" s="267"/>
      <c r="M139" s="268" t="s">
        <v>367</v>
      </c>
      <c r="N139" s="269" t="str">
        <f>IF(K131&amp;L131&lt;&gt;"",IF($D$27&lt;&gt;"",$D$27,""),"")</f>
        <v/>
      </c>
      <c r="O139" s="270"/>
      <c r="P139" s="271" t="str">
        <f t="shared" si="9"/>
        <v/>
      </c>
      <c r="Q139" s="272"/>
      <c r="R139" s="255">
        <f t="shared" si="15"/>
        <v>0</v>
      </c>
      <c r="S139" s="255">
        <f>IF(S131&gt;0,R139*S131,99999999)</f>
        <v>99999999</v>
      </c>
      <c r="T139" s="262" t="str">
        <f t="shared" si="12"/>
        <v/>
      </c>
      <c r="U139" s="262" t="str">
        <f t="shared" si="11"/>
        <v/>
      </c>
    </row>
    <row r="140" spans="10:21" ht="17.25" customHeight="1" x14ac:dyDescent="0.15">
      <c r="J140" s="266"/>
      <c r="K140" s="267"/>
      <c r="L140" s="267"/>
      <c r="M140" s="268" t="s">
        <v>367</v>
      </c>
      <c r="N140" s="269" t="str">
        <f>IF(K131&amp;L131&lt;&gt;"",IF($D$28&lt;&gt;"",$D$28,""),"")</f>
        <v/>
      </c>
      <c r="O140" s="270"/>
      <c r="P140" s="271" t="str">
        <f t="shared" si="9"/>
        <v/>
      </c>
      <c r="Q140" s="272"/>
      <c r="R140" s="255">
        <f t="shared" si="15"/>
        <v>0</v>
      </c>
      <c r="S140" s="255">
        <f>IF(S131&gt;0,R140*S131,99999999)</f>
        <v>99999999</v>
      </c>
      <c r="T140" s="262" t="str">
        <f t="shared" si="12"/>
        <v/>
      </c>
      <c r="U140" s="262" t="str">
        <f t="shared" si="11"/>
        <v/>
      </c>
    </row>
    <row r="141" spans="10:21" ht="17.25" customHeight="1" x14ac:dyDescent="0.15">
      <c r="J141" s="266"/>
      <c r="K141" s="267"/>
      <c r="L141" s="267"/>
      <c r="M141" s="268" t="s">
        <v>367</v>
      </c>
      <c r="N141" s="269" t="str">
        <f>IF(K131&amp;L131&lt;&gt;"",IF($D$29&lt;&gt;"",$D$29,""),"")</f>
        <v/>
      </c>
      <c r="O141" s="270"/>
      <c r="P141" s="271" t="str">
        <f t="shared" si="9"/>
        <v/>
      </c>
      <c r="Q141" s="272"/>
      <c r="R141" s="255">
        <f t="shared" si="15"/>
        <v>0</v>
      </c>
      <c r="S141" s="255">
        <f>IF(S131&gt;0,R141*S131,99999999)</f>
        <v>99999999</v>
      </c>
      <c r="T141" s="262" t="str">
        <f t="shared" si="12"/>
        <v/>
      </c>
      <c r="U141" s="262" t="str">
        <f t="shared" si="11"/>
        <v/>
      </c>
    </row>
    <row r="142" spans="10:21" ht="17.25" hidden="1" customHeight="1" outlineLevel="1" x14ac:dyDescent="0.15">
      <c r="J142" s="266"/>
      <c r="K142" s="267"/>
      <c r="L142" s="267"/>
      <c r="M142" s="268" t="s">
        <v>367</v>
      </c>
      <c r="N142" s="269" t="str">
        <f>IF(K131&amp;L131&lt;&gt;"",IF($D$30&lt;&gt;"",$D$30,""),"")</f>
        <v/>
      </c>
      <c r="O142" s="270"/>
      <c r="P142" s="271" t="str">
        <f t="shared" si="9"/>
        <v/>
      </c>
      <c r="Q142" s="272"/>
      <c r="R142" s="255">
        <f>IF(N142&lt;&gt;"",VLOOKUP(N142,$D$19:$E$34,2,FALSE),0)</f>
        <v>0</v>
      </c>
      <c r="S142" s="255">
        <f>IF(S131&gt;0,R142*S131,99999999)</f>
        <v>99999999</v>
      </c>
      <c r="T142" s="262" t="str">
        <f t="shared" si="12"/>
        <v/>
      </c>
      <c r="U142" s="262" t="str">
        <f t="shared" si="11"/>
        <v/>
      </c>
    </row>
    <row r="143" spans="10:21" ht="17.25" hidden="1" customHeight="1" outlineLevel="1" x14ac:dyDescent="0.15">
      <c r="J143" s="266"/>
      <c r="K143" s="267"/>
      <c r="L143" s="267"/>
      <c r="M143" s="268" t="s">
        <v>367</v>
      </c>
      <c r="N143" s="269" t="str">
        <f>IF(K131&amp;L131&lt;&gt;"",IF($D$31&lt;&gt;"",$D$31,""),"")</f>
        <v/>
      </c>
      <c r="O143" s="270"/>
      <c r="P143" s="271" t="str">
        <f t="shared" si="9"/>
        <v/>
      </c>
      <c r="Q143" s="272"/>
      <c r="R143" s="255">
        <f>IF(N143&lt;&gt;"",VLOOKUP(N143,$D$19:$E$34,2,FALSE),0)</f>
        <v>0</v>
      </c>
      <c r="S143" s="255">
        <f>IF(S131&gt;0,R143*S131,99999999)</f>
        <v>99999999</v>
      </c>
      <c r="T143" s="262" t="str">
        <f t="shared" si="12"/>
        <v/>
      </c>
      <c r="U143" s="262" t="str">
        <f t="shared" si="11"/>
        <v/>
      </c>
    </row>
    <row r="144" spans="10:21" ht="17.25" hidden="1" customHeight="1" outlineLevel="1" x14ac:dyDescent="0.15">
      <c r="J144" s="266"/>
      <c r="K144" s="267"/>
      <c r="L144" s="267"/>
      <c r="M144" s="268" t="s">
        <v>367</v>
      </c>
      <c r="N144" s="269" t="str">
        <f>IF(K131&amp;L131&lt;&gt;"",IF($D$32&lt;&gt;"",$D$32,""),"")</f>
        <v/>
      </c>
      <c r="O144" s="270"/>
      <c r="P144" s="271" t="str">
        <f t="shared" si="9"/>
        <v/>
      </c>
      <c r="Q144" s="272"/>
      <c r="R144" s="255">
        <f>IF(N144&lt;&gt;"",VLOOKUP(N144,$D$19:$E$34,2,FALSE),0)</f>
        <v>0</v>
      </c>
      <c r="S144" s="255">
        <f>IF(S131&gt;0,R144*S131,99999999)</f>
        <v>99999999</v>
      </c>
      <c r="T144" s="262" t="str">
        <f t="shared" si="12"/>
        <v/>
      </c>
      <c r="U144" s="262" t="str">
        <f t="shared" si="11"/>
        <v/>
      </c>
    </row>
    <row r="145" spans="10:21" ht="17.25" hidden="1" customHeight="1" outlineLevel="1" x14ac:dyDescent="0.15">
      <c r="J145" s="266"/>
      <c r="K145" s="267"/>
      <c r="L145" s="267"/>
      <c r="M145" s="268" t="s">
        <v>367</v>
      </c>
      <c r="N145" s="269" t="str">
        <f>IF(K131&amp;L131&lt;&gt;"",IF($D$33&lt;&gt;"",$D$33,""),"")</f>
        <v/>
      </c>
      <c r="O145" s="270"/>
      <c r="P145" s="271" t="str">
        <f t="shared" si="9"/>
        <v/>
      </c>
      <c r="Q145" s="272"/>
      <c r="R145" s="255">
        <f>IF(N145&lt;&gt;"",VLOOKUP(N145,$D$19:$E$34,2,FALSE),0)</f>
        <v>0</v>
      </c>
      <c r="S145" s="255">
        <f>IF(S131&gt;0,R145*S131,99999999)</f>
        <v>99999999</v>
      </c>
      <c r="T145" s="262" t="str">
        <f t="shared" si="12"/>
        <v/>
      </c>
      <c r="U145" s="262" t="str">
        <f t="shared" si="11"/>
        <v/>
      </c>
    </row>
    <row r="146" spans="10:21" ht="17.25" hidden="1" customHeight="1" outlineLevel="1" x14ac:dyDescent="0.15">
      <c r="J146" s="279"/>
      <c r="K146" s="280"/>
      <c r="L146" s="280"/>
      <c r="M146" s="281" t="s">
        <v>367</v>
      </c>
      <c r="N146" s="278" t="str">
        <f>IF(K131&amp;L131&lt;&gt;"",IF($D$34&lt;&gt;"",$D$34,""),"")</f>
        <v/>
      </c>
      <c r="O146" s="282"/>
      <c r="P146" s="271" t="str">
        <f t="shared" si="9"/>
        <v/>
      </c>
      <c r="Q146" s="283"/>
      <c r="R146" s="255">
        <f>IF(N146&lt;&gt;"",VLOOKUP(N146,$D$19:$E$34,2,FALSE),0)</f>
        <v>0</v>
      </c>
      <c r="S146" s="255">
        <f>IF(S131&gt;0,R146*S131,99999999)</f>
        <v>99999999</v>
      </c>
      <c r="T146" s="262" t="str">
        <f t="shared" si="12"/>
        <v/>
      </c>
      <c r="U146" s="262" t="str">
        <f t="shared" si="11"/>
        <v/>
      </c>
    </row>
    <row r="147" spans="10:21" ht="17.25" customHeight="1" collapsed="1" x14ac:dyDescent="0.15">
      <c r="J147" s="256">
        <v>9</v>
      </c>
      <c r="K147" s="257"/>
      <c r="L147" s="257"/>
      <c r="M147" s="258" t="s">
        <v>366</v>
      </c>
      <c r="N147" s="259" t="str">
        <f>IF(K147&amp;L147&lt;&gt;"",IF($D$19&lt;&gt;"",$D$19,""),"")</f>
        <v/>
      </c>
      <c r="O147" s="257"/>
      <c r="P147" s="260" t="str">
        <f t="shared" ref="P147:P210" si="16">IF(ISERROR(ROUND(Q147/O147,0)),"",ROUND(Q147/O147,0))</f>
        <v/>
      </c>
      <c r="Q147" s="261"/>
      <c r="R147" s="255">
        <f t="shared" ref="R147:R157" si="17">IF(N147&lt;&gt;"",VLOOKUP(N147,$D$19:$E$29,2,FALSE),0)</f>
        <v>0</v>
      </c>
      <c r="S147" s="255">
        <f>IF($E$19&gt;0,IF(MOD(O147,$E$19)=0,O147/$E$19,-1),-1)</f>
        <v>-1</v>
      </c>
      <c r="T147" s="262" t="str">
        <f>IF(N147&lt;&gt;"",IF(O147&lt;&gt;"",IF(S147&gt;0,"OK","数量が不足しています"),"数量が未入力です"),"")</f>
        <v/>
      </c>
      <c r="U147" s="262" t="str">
        <f t="shared" ref="U147:U210" si="18">IF(O147&lt;&gt;"",IF(Q147&lt;&gt;"","OK","未入力です"),"")</f>
        <v/>
      </c>
    </row>
    <row r="148" spans="10:21" ht="17.25" customHeight="1" x14ac:dyDescent="0.15">
      <c r="J148" s="266"/>
      <c r="K148" s="267"/>
      <c r="L148" s="267"/>
      <c r="M148" s="268" t="s">
        <v>367</v>
      </c>
      <c r="N148" s="269" t="str">
        <f>IF(K147&amp;L147&lt;&gt;"",IF($D$20&lt;&gt;"",$D$20,""),"")</f>
        <v/>
      </c>
      <c r="O148" s="270"/>
      <c r="P148" s="271" t="str">
        <f t="shared" si="16"/>
        <v/>
      </c>
      <c r="Q148" s="272"/>
      <c r="R148" s="255">
        <f t="shared" si="17"/>
        <v>0</v>
      </c>
      <c r="S148" s="255">
        <f>IF(S147&gt;0,R148*S147,99999999)</f>
        <v>99999999</v>
      </c>
      <c r="T148" s="262" t="str">
        <f t="shared" ref="T148:T210" si="19">IF(N148&lt;&gt;"",IF(O148&lt;&gt;"",IF(O148&gt;=S148,"OK","数量が不足しています"),"数量が未入力です"),"")</f>
        <v/>
      </c>
      <c r="U148" s="262" t="str">
        <f t="shared" si="18"/>
        <v/>
      </c>
    </row>
    <row r="149" spans="10:21" ht="17.25" customHeight="1" x14ac:dyDescent="0.15">
      <c r="J149" s="266"/>
      <c r="K149" s="267"/>
      <c r="L149" s="267"/>
      <c r="M149" s="268" t="s">
        <v>367</v>
      </c>
      <c r="N149" s="269" t="str">
        <f>IF(K147&amp;L147&lt;&gt;"",IF($D$21&lt;&gt;"",$D$21,""),"")</f>
        <v/>
      </c>
      <c r="O149" s="270"/>
      <c r="P149" s="271" t="str">
        <f t="shared" si="16"/>
        <v/>
      </c>
      <c r="Q149" s="272"/>
      <c r="R149" s="255">
        <f t="shared" si="17"/>
        <v>0</v>
      </c>
      <c r="S149" s="255">
        <f>IF(S147&gt;0,R149*S147,99999999)</f>
        <v>99999999</v>
      </c>
      <c r="T149" s="262" t="str">
        <f t="shared" si="19"/>
        <v/>
      </c>
      <c r="U149" s="262" t="str">
        <f t="shared" si="18"/>
        <v/>
      </c>
    </row>
    <row r="150" spans="10:21" ht="17.25" customHeight="1" x14ac:dyDescent="0.15">
      <c r="J150" s="266"/>
      <c r="K150" s="267"/>
      <c r="L150" s="267"/>
      <c r="M150" s="268" t="s">
        <v>367</v>
      </c>
      <c r="N150" s="269" t="str">
        <f>IF(K147&amp;L147&lt;&gt;"",IF($D$22&lt;&gt;"",$D$22,""),"")</f>
        <v/>
      </c>
      <c r="O150" s="270"/>
      <c r="P150" s="271" t="str">
        <f t="shared" si="16"/>
        <v/>
      </c>
      <c r="Q150" s="272"/>
      <c r="R150" s="255">
        <f t="shared" si="17"/>
        <v>0</v>
      </c>
      <c r="S150" s="255">
        <f>IF(S147&gt;0,R150*S147,99999999)</f>
        <v>99999999</v>
      </c>
      <c r="T150" s="262" t="str">
        <f t="shared" si="19"/>
        <v/>
      </c>
      <c r="U150" s="262" t="str">
        <f t="shared" si="18"/>
        <v/>
      </c>
    </row>
    <row r="151" spans="10:21" ht="17.25" customHeight="1" x14ac:dyDescent="0.15">
      <c r="J151" s="266"/>
      <c r="K151" s="267"/>
      <c r="L151" s="267"/>
      <c r="M151" s="268" t="s">
        <v>367</v>
      </c>
      <c r="N151" s="269" t="str">
        <f>IF(K147&amp;L147&lt;&gt;"",IF($D$23&lt;&gt;"",$D$23,""),"")</f>
        <v/>
      </c>
      <c r="O151" s="270"/>
      <c r="P151" s="271" t="str">
        <f t="shared" si="16"/>
        <v/>
      </c>
      <c r="Q151" s="272"/>
      <c r="R151" s="255">
        <f t="shared" si="17"/>
        <v>0</v>
      </c>
      <c r="S151" s="255">
        <f>IF(S147&gt;0,R151*S147,99999999)</f>
        <v>99999999</v>
      </c>
      <c r="T151" s="262" t="str">
        <f t="shared" si="19"/>
        <v/>
      </c>
      <c r="U151" s="262" t="str">
        <f t="shared" si="18"/>
        <v/>
      </c>
    </row>
    <row r="152" spans="10:21" ht="17.25" customHeight="1" x14ac:dyDescent="0.15">
      <c r="J152" s="266"/>
      <c r="K152" s="267"/>
      <c r="L152" s="267"/>
      <c r="M152" s="268" t="s">
        <v>367</v>
      </c>
      <c r="N152" s="269" t="str">
        <f>IF(K147&amp;L147&lt;&gt;"",IF($D$24&lt;&gt;"",$D$24,""),"")</f>
        <v/>
      </c>
      <c r="O152" s="270"/>
      <c r="P152" s="271" t="str">
        <f t="shared" si="16"/>
        <v/>
      </c>
      <c r="Q152" s="272"/>
      <c r="R152" s="255">
        <f t="shared" si="17"/>
        <v>0</v>
      </c>
      <c r="S152" s="255">
        <f>IF(S147&gt;0,R152*S147,99999999)</f>
        <v>99999999</v>
      </c>
      <c r="T152" s="262" t="str">
        <f t="shared" si="19"/>
        <v/>
      </c>
      <c r="U152" s="262" t="str">
        <f t="shared" si="18"/>
        <v/>
      </c>
    </row>
    <row r="153" spans="10:21" ht="17.25" customHeight="1" x14ac:dyDescent="0.15">
      <c r="J153" s="266"/>
      <c r="K153" s="267"/>
      <c r="L153" s="267"/>
      <c r="M153" s="268" t="s">
        <v>367</v>
      </c>
      <c r="N153" s="269" t="str">
        <f>IF(K147&amp;L147&lt;&gt;"",IF($D$25&lt;&gt;"",$D$25,""),"")</f>
        <v/>
      </c>
      <c r="O153" s="270"/>
      <c r="P153" s="271" t="str">
        <f t="shared" si="16"/>
        <v/>
      </c>
      <c r="Q153" s="272"/>
      <c r="R153" s="255">
        <f t="shared" si="17"/>
        <v>0</v>
      </c>
      <c r="S153" s="255">
        <f>IF(S147&gt;0,R153*S147,99999999)</f>
        <v>99999999</v>
      </c>
      <c r="T153" s="262" t="str">
        <f t="shared" si="19"/>
        <v/>
      </c>
      <c r="U153" s="262" t="str">
        <f t="shared" si="18"/>
        <v/>
      </c>
    </row>
    <row r="154" spans="10:21" ht="17.25" customHeight="1" x14ac:dyDescent="0.15">
      <c r="J154" s="266"/>
      <c r="K154" s="267"/>
      <c r="L154" s="267"/>
      <c r="M154" s="268" t="s">
        <v>367</v>
      </c>
      <c r="N154" s="269" t="str">
        <f>IF(K147&amp;L147&lt;&gt;"",IF($D$26&lt;&gt;"",$D$26,""),"")</f>
        <v/>
      </c>
      <c r="O154" s="270"/>
      <c r="P154" s="271" t="str">
        <f t="shared" si="16"/>
        <v/>
      </c>
      <c r="Q154" s="272"/>
      <c r="R154" s="255">
        <f t="shared" si="17"/>
        <v>0</v>
      </c>
      <c r="S154" s="255">
        <f>IF(S147&gt;0,R154*S147,99999999)</f>
        <v>99999999</v>
      </c>
      <c r="T154" s="262" t="str">
        <f t="shared" si="19"/>
        <v/>
      </c>
      <c r="U154" s="262" t="str">
        <f t="shared" si="18"/>
        <v/>
      </c>
    </row>
    <row r="155" spans="10:21" ht="17.25" customHeight="1" x14ac:dyDescent="0.15">
      <c r="J155" s="266"/>
      <c r="K155" s="267"/>
      <c r="L155" s="267"/>
      <c r="M155" s="268" t="s">
        <v>367</v>
      </c>
      <c r="N155" s="269" t="str">
        <f>IF(K147&amp;L147&lt;&gt;"",IF($D$27&lt;&gt;"",$D$27,""),"")</f>
        <v/>
      </c>
      <c r="O155" s="270"/>
      <c r="P155" s="271" t="str">
        <f t="shared" si="16"/>
        <v/>
      </c>
      <c r="Q155" s="272"/>
      <c r="R155" s="255">
        <f t="shared" si="17"/>
        <v>0</v>
      </c>
      <c r="S155" s="255">
        <f>IF(S147&gt;0,R155*S147,99999999)</f>
        <v>99999999</v>
      </c>
      <c r="T155" s="262" t="str">
        <f t="shared" si="19"/>
        <v/>
      </c>
      <c r="U155" s="262" t="str">
        <f t="shared" si="18"/>
        <v/>
      </c>
    </row>
    <row r="156" spans="10:21" ht="17.25" customHeight="1" x14ac:dyDescent="0.15">
      <c r="J156" s="266"/>
      <c r="K156" s="267"/>
      <c r="L156" s="267"/>
      <c r="M156" s="268" t="s">
        <v>367</v>
      </c>
      <c r="N156" s="269" t="str">
        <f>IF(K147&amp;L147&lt;&gt;"",IF($D$28&lt;&gt;"",$D$28,""),"")</f>
        <v/>
      </c>
      <c r="O156" s="270"/>
      <c r="P156" s="271" t="str">
        <f t="shared" si="16"/>
        <v/>
      </c>
      <c r="Q156" s="272"/>
      <c r="R156" s="255">
        <f t="shared" si="17"/>
        <v>0</v>
      </c>
      <c r="S156" s="255">
        <f>IF(S147&gt;0,R156*S147,99999999)</f>
        <v>99999999</v>
      </c>
      <c r="T156" s="262" t="str">
        <f t="shared" si="19"/>
        <v/>
      </c>
      <c r="U156" s="262" t="str">
        <f t="shared" si="18"/>
        <v/>
      </c>
    </row>
    <row r="157" spans="10:21" ht="17.25" customHeight="1" x14ac:dyDescent="0.15">
      <c r="J157" s="266"/>
      <c r="K157" s="267"/>
      <c r="L157" s="267"/>
      <c r="M157" s="268" t="s">
        <v>367</v>
      </c>
      <c r="N157" s="269" t="str">
        <f>IF(K147&amp;L147&lt;&gt;"",IF($D$29&lt;&gt;"",$D$29,""),"")</f>
        <v/>
      </c>
      <c r="O157" s="270"/>
      <c r="P157" s="271" t="str">
        <f t="shared" si="16"/>
        <v/>
      </c>
      <c r="Q157" s="272"/>
      <c r="R157" s="255">
        <f t="shared" si="17"/>
        <v>0</v>
      </c>
      <c r="S157" s="255">
        <f>IF(S147&gt;0,R157*S147,99999999)</f>
        <v>99999999</v>
      </c>
      <c r="T157" s="262" t="str">
        <f t="shared" si="19"/>
        <v/>
      </c>
      <c r="U157" s="262" t="str">
        <f t="shared" si="18"/>
        <v/>
      </c>
    </row>
    <row r="158" spans="10:21" ht="17.25" hidden="1" customHeight="1" outlineLevel="1" x14ac:dyDescent="0.15">
      <c r="J158" s="266"/>
      <c r="K158" s="267"/>
      <c r="L158" s="267"/>
      <c r="M158" s="268" t="s">
        <v>367</v>
      </c>
      <c r="N158" s="269" t="str">
        <f>IF(K147&amp;L147&lt;&gt;"",IF($D$30&lt;&gt;"",$D$30,""),"")</f>
        <v/>
      </c>
      <c r="O158" s="270"/>
      <c r="P158" s="271" t="str">
        <f t="shared" si="16"/>
        <v/>
      </c>
      <c r="Q158" s="272"/>
      <c r="R158" s="255">
        <f>IF(N158&lt;&gt;"",VLOOKUP(N158,$D$19:$E$34,2,FALSE),0)</f>
        <v>0</v>
      </c>
      <c r="S158" s="255">
        <f>IF(S147&gt;0,R158*S147,99999999)</f>
        <v>99999999</v>
      </c>
      <c r="T158" s="262" t="str">
        <f t="shared" si="19"/>
        <v/>
      </c>
      <c r="U158" s="262" t="str">
        <f t="shared" si="18"/>
        <v/>
      </c>
    </row>
    <row r="159" spans="10:21" ht="17.25" hidden="1" customHeight="1" outlineLevel="1" x14ac:dyDescent="0.15">
      <c r="J159" s="266"/>
      <c r="K159" s="267"/>
      <c r="L159" s="267"/>
      <c r="M159" s="268" t="s">
        <v>367</v>
      </c>
      <c r="N159" s="269" t="str">
        <f>IF(K147&amp;L147&lt;&gt;"",IF($D$31&lt;&gt;"",$D$31,""),"")</f>
        <v/>
      </c>
      <c r="O159" s="270"/>
      <c r="P159" s="271" t="str">
        <f t="shared" si="16"/>
        <v/>
      </c>
      <c r="Q159" s="272"/>
      <c r="R159" s="255">
        <f>IF(N159&lt;&gt;"",VLOOKUP(N159,$D$19:$E$34,2,FALSE),0)</f>
        <v>0</v>
      </c>
      <c r="S159" s="255">
        <f>IF(S147&gt;0,R159*S147,99999999)</f>
        <v>99999999</v>
      </c>
      <c r="T159" s="262" t="str">
        <f t="shared" si="19"/>
        <v/>
      </c>
      <c r="U159" s="262" t="str">
        <f t="shared" si="18"/>
        <v/>
      </c>
    </row>
    <row r="160" spans="10:21" ht="17.25" hidden="1" customHeight="1" outlineLevel="1" x14ac:dyDescent="0.15">
      <c r="J160" s="266"/>
      <c r="K160" s="267"/>
      <c r="L160" s="267"/>
      <c r="M160" s="268" t="s">
        <v>367</v>
      </c>
      <c r="N160" s="269" t="str">
        <f>IF(K147&amp;L147&lt;&gt;"",IF($D$32&lt;&gt;"",$D$32,""),"")</f>
        <v/>
      </c>
      <c r="O160" s="270"/>
      <c r="P160" s="271" t="str">
        <f t="shared" si="16"/>
        <v/>
      </c>
      <c r="Q160" s="272"/>
      <c r="R160" s="255">
        <f>IF(N160&lt;&gt;"",VLOOKUP(N160,$D$19:$E$34,2,FALSE),0)</f>
        <v>0</v>
      </c>
      <c r="S160" s="255">
        <f>IF(S147&gt;0,R160*S147,99999999)</f>
        <v>99999999</v>
      </c>
      <c r="T160" s="262" t="str">
        <f t="shared" si="19"/>
        <v/>
      </c>
      <c r="U160" s="262" t="str">
        <f t="shared" si="18"/>
        <v/>
      </c>
    </row>
    <row r="161" spans="10:21" ht="17.25" hidden="1" customHeight="1" outlineLevel="1" x14ac:dyDescent="0.15">
      <c r="J161" s="266"/>
      <c r="K161" s="267"/>
      <c r="L161" s="267"/>
      <c r="M161" s="268" t="s">
        <v>367</v>
      </c>
      <c r="N161" s="269" t="str">
        <f>IF(K147&amp;L147&lt;&gt;"",IF($D$33&lt;&gt;"",$D$33,""),"")</f>
        <v/>
      </c>
      <c r="O161" s="270"/>
      <c r="P161" s="271" t="str">
        <f t="shared" si="16"/>
        <v/>
      </c>
      <c r="Q161" s="272"/>
      <c r="R161" s="255">
        <f>IF(N161&lt;&gt;"",VLOOKUP(N161,$D$19:$E$34,2,FALSE),0)</f>
        <v>0</v>
      </c>
      <c r="S161" s="255">
        <f>IF(S147&gt;0,R161*S147,99999999)</f>
        <v>99999999</v>
      </c>
      <c r="T161" s="262" t="str">
        <f t="shared" si="19"/>
        <v/>
      </c>
      <c r="U161" s="262" t="str">
        <f t="shared" si="18"/>
        <v/>
      </c>
    </row>
    <row r="162" spans="10:21" ht="17.25" hidden="1" customHeight="1" outlineLevel="1" x14ac:dyDescent="0.15">
      <c r="J162" s="279"/>
      <c r="K162" s="280"/>
      <c r="L162" s="280"/>
      <c r="M162" s="281" t="s">
        <v>367</v>
      </c>
      <c r="N162" s="278" t="str">
        <f>IF(K147&amp;L147&lt;&gt;"",IF($D$34&lt;&gt;"",$D$34,""),"")</f>
        <v/>
      </c>
      <c r="O162" s="282"/>
      <c r="P162" s="271" t="str">
        <f t="shared" si="16"/>
        <v/>
      </c>
      <c r="Q162" s="283"/>
      <c r="R162" s="255">
        <f>IF(N162&lt;&gt;"",VLOOKUP(N162,$D$19:$E$34,2,FALSE),0)</f>
        <v>0</v>
      </c>
      <c r="S162" s="255">
        <f>IF(S147&gt;0,R162*S147,99999999)</f>
        <v>99999999</v>
      </c>
      <c r="T162" s="262" t="str">
        <f t="shared" si="19"/>
        <v/>
      </c>
      <c r="U162" s="262" t="str">
        <f t="shared" si="18"/>
        <v/>
      </c>
    </row>
    <row r="163" spans="10:21" ht="17.25" customHeight="1" collapsed="1" x14ac:dyDescent="0.15">
      <c r="J163" s="256">
        <v>10</v>
      </c>
      <c r="K163" s="257"/>
      <c r="L163" s="257"/>
      <c r="M163" s="258" t="s">
        <v>366</v>
      </c>
      <c r="N163" s="259" t="str">
        <f>IF(K163&amp;L163&lt;&gt;"",IF($D$19&lt;&gt;"",$D$19,""),"")</f>
        <v/>
      </c>
      <c r="O163" s="257"/>
      <c r="P163" s="260" t="str">
        <f t="shared" si="16"/>
        <v/>
      </c>
      <c r="Q163" s="261"/>
      <c r="R163" s="255">
        <f t="shared" ref="R163:R173" si="20">IF(N163&lt;&gt;"",VLOOKUP(N163,$D$19:$E$29,2,FALSE),0)</f>
        <v>0</v>
      </c>
      <c r="S163" s="255">
        <f>IF($E$19&gt;0,IF(MOD(O163,$E$19)=0,O163/$E$19,-1),-1)</f>
        <v>-1</v>
      </c>
      <c r="T163" s="262" t="str">
        <f>IF(N163&lt;&gt;"",IF(O163&lt;&gt;"",IF(S163&gt;0,"OK","数量が不足しています"),"数量が未入力です"),"")</f>
        <v/>
      </c>
      <c r="U163" s="262" t="str">
        <f t="shared" si="18"/>
        <v/>
      </c>
    </row>
    <row r="164" spans="10:21" ht="17.25" customHeight="1" x14ac:dyDescent="0.15">
      <c r="J164" s="266"/>
      <c r="K164" s="267"/>
      <c r="L164" s="267"/>
      <c r="M164" s="268" t="s">
        <v>367</v>
      </c>
      <c r="N164" s="269" t="str">
        <f>IF(K163&amp;L163&lt;&gt;"",IF($D$20&lt;&gt;"",$D$20,""),"")</f>
        <v/>
      </c>
      <c r="O164" s="270"/>
      <c r="P164" s="271" t="str">
        <f t="shared" si="16"/>
        <v/>
      </c>
      <c r="Q164" s="272"/>
      <c r="R164" s="255">
        <f t="shared" si="20"/>
        <v>0</v>
      </c>
      <c r="S164" s="255">
        <f>IF(S163&gt;0,R164*S163,99999999)</f>
        <v>99999999</v>
      </c>
      <c r="T164" s="262" t="str">
        <f t="shared" si="19"/>
        <v/>
      </c>
      <c r="U164" s="262" t="str">
        <f t="shared" si="18"/>
        <v/>
      </c>
    </row>
    <row r="165" spans="10:21" ht="17.25" customHeight="1" x14ac:dyDescent="0.15">
      <c r="J165" s="266"/>
      <c r="K165" s="267"/>
      <c r="L165" s="267"/>
      <c r="M165" s="268" t="s">
        <v>367</v>
      </c>
      <c r="N165" s="269" t="str">
        <f>IF(K163&amp;L163&lt;&gt;"",IF($D$21&lt;&gt;"",$D$21,""),"")</f>
        <v/>
      </c>
      <c r="O165" s="270"/>
      <c r="P165" s="271" t="str">
        <f t="shared" si="16"/>
        <v/>
      </c>
      <c r="Q165" s="272"/>
      <c r="R165" s="255">
        <f t="shared" si="20"/>
        <v>0</v>
      </c>
      <c r="S165" s="255">
        <f>IF(S163&gt;0,R165*S163,99999999)</f>
        <v>99999999</v>
      </c>
      <c r="T165" s="262" t="str">
        <f t="shared" si="19"/>
        <v/>
      </c>
      <c r="U165" s="262" t="str">
        <f t="shared" si="18"/>
        <v/>
      </c>
    </row>
    <row r="166" spans="10:21" ht="17.25" customHeight="1" x14ac:dyDescent="0.15">
      <c r="J166" s="266"/>
      <c r="K166" s="267"/>
      <c r="L166" s="267"/>
      <c r="M166" s="268" t="s">
        <v>367</v>
      </c>
      <c r="N166" s="269" t="str">
        <f>IF(K163&amp;L163&lt;&gt;"",IF($D$22&lt;&gt;"",$D$22,""),"")</f>
        <v/>
      </c>
      <c r="O166" s="270"/>
      <c r="P166" s="271" t="str">
        <f t="shared" si="16"/>
        <v/>
      </c>
      <c r="Q166" s="272"/>
      <c r="R166" s="255">
        <f t="shared" si="20"/>
        <v>0</v>
      </c>
      <c r="S166" s="255">
        <f>IF(S163&gt;0,R166*S163,99999999)</f>
        <v>99999999</v>
      </c>
      <c r="T166" s="262" t="str">
        <f t="shared" si="19"/>
        <v/>
      </c>
      <c r="U166" s="262" t="str">
        <f t="shared" si="18"/>
        <v/>
      </c>
    </row>
    <row r="167" spans="10:21" ht="17.25" customHeight="1" x14ac:dyDescent="0.15">
      <c r="J167" s="266"/>
      <c r="K167" s="267"/>
      <c r="L167" s="267"/>
      <c r="M167" s="268" t="s">
        <v>367</v>
      </c>
      <c r="N167" s="269" t="str">
        <f>IF(K163&amp;L163&lt;&gt;"",IF($D$23&lt;&gt;"",$D$23,""),"")</f>
        <v/>
      </c>
      <c r="O167" s="270"/>
      <c r="P167" s="271" t="str">
        <f t="shared" si="16"/>
        <v/>
      </c>
      <c r="Q167" s="272"/>
      <c r="R167" s="255">
        <f t="shared" si="20"/>
        <v>0</v>
      </c>
      <c r="S167" s="255">
        <f>IF(S163&gt;0,R167*S163,99999999)</f>
        <v>99999999</v>
      </c>
      <c r="T167" s="262" t="str">
        <f t="shared" si="19"/>
        <v/>
      </c>
      <c r="U167" s="262" t="str">
        <f t="shared" si="18"/>
        <v/>
      </c>
    </row>
    <row r="168" spans="10:21" ht="17.25" customHeight="1" x14ac:dyDescent="0.15">
      <c r="J168" s="266"/>
      <c r="K168" s="267"/>
      <c r="L168" s="267"/>
      <c r="M168" s="268" t="s">
        <v>367</v>
      </c>
      <c r="N168" s="269" t="str">
        <f>IF(K163&amp;L163&lt;&gt;"",IF($D$24&lt;&gt;"",$D$24,""),"")</f>
        <v/>
      </c>
      <c r="O168" s="270"/>
      <c r="P168" s="271" t="str">
        <f t="shared" si="16"/>
        <v/>
      </c>
      <c r="Q168" s="272"/>
      <c r="R168" s="255">
        <f t="shared" si="20"/>
        <v>0</v>
      </c>
      <c r="S168" s="255">
        <f>IF(S163&gt;0,R168*S163,99999999)</f>
        <v>99999999</v>
      </c>
      <c r="T168" s="262" t="str">
        <f t="shared" si="19"/>
        <v/>
      </c>
      <c r="U168" s="262" t="str">
        <f t="shared" si="18"/>
        <v/>
      </c>
    </row>
    <row r="169" spans="10:21" ht="17.25" customHeight="1" x14ac:dyDescent="0.15">
      <c r="J169" s="266"/>
      <c r="K169" s="267"/>
      <c r="L169" s="267"/>
      <c r="M169" s="268" t="s">
        <v>367</v>
      </c>
      <c r="N169" s="269" t="str">
        <f>IF(K163&amp;L163&lt;&gt;"",IF($D$25&lt;&gt;"",$D$25,""),"")</f>
        <v/>
      </c>
      <c r="O169" s="270"/>
      <c r="P169" s="271" t="str">
        <f t="shared" si="16"/>
        <v/>
      </c>
      <c r="Q169" s="272"/>
      <c r="R169" s="255">
        <f t="shared" si="20"/>
        <v>0</v>
      </c>
      <c r="S169" s="255">
        <f>IF(S163&gt;0,R169*S163,99999999)</f>
        <v>99999999</v>
      </c>
      <c r="T169" s="262" t="str">
        <f t="shared" si="19"/>
        <v/>
      </c>
      <c r="U169" s="262" t="str">
        <f t="shared" si="18"/>
        <v/>
      </c>
    </row>
    <row r="170" spans="10:21" ht="17.25" customHeight="1" x14ac:dyDescent="0.15">
      <c r="J170" s="266"/>
      <c r="K170" s="267"/>
      <c r="L170" s="267"/>
      <c r="M170" s="268" t="s">
        <v>367</v>
      </c>
      <c r="N170" s="269" t="str">
        <f>IF(K163&amp;L163&lt;&gt;"",IF($D$26&lt;&gt;"",$D$26,""),"")</f>
        <v/>
      </c>
      <c r="O170" s="270"/>
      <c r="P170" s="271" t="str">
        <f t="shared" si="16"/>
        <v/>
      </c>
      <c r="Q170" s="272"/>
      <c r="R170" s="255">
        <f t="shared" si="20"/>
        <v>0</v>
      </c>
      <c r="S170" s="255">
        <f>IF(S163&gt;0,R170*S163,99999999)</f>
        <v>99999999</v>
      </c>
      <c r="T170" s="262" t="str">
        <f t="shared" si="19"/>
        <v/>
      </c>
      <c r="U170" s="262" t="str">
        <f t="shared" si="18"/>
        <v/>
      </c>
    </row>
    <row r="171" spans="10:21" ht="17.25" customHeight="1" x14ac:dyDescent="0.15">
      <c r="J171" s="266"/>
      <c r="K171" s="267"/>
      <c r="L171" s="267"/>
      <c r="M171" s="268" t="s">
        <v>367</v>
      </c>
      <c r="N171" s="269" t="str">
        <f>IF(K163&amp;L163&lt;&gt;"",IF($D$27&lt;&gt;"",$D$27,""),"")</f>
        <v/>
      </c>
      <c r="O171" s="270"/>
      <c r="P171" s="271" t="str">
        <f t="shared" si="16"/>
        <v/>
      </c>
      <c r="Q171" s="272"/>
      <c r="R171" s="255">
        <f t="shared" si="20"/>
        <v>0</v>
      </c>
      <c r="S171" s="255">
        <f>IF(S163&gt;0,R171*S163,99999999)</f>
        <v>99999999</v>
      </c>
      <c r="T171" s="262" t="str">
        <f t="shared" si="19"/>
        <v/>
      </c>
      <c r="U171" s="262" t="str">
        <f t="shared" si="18"/>
        <v/>
      </c>
    </row>
    <row r="172" spans="10:21" ht="17.25" customHeight="1" x14ac:dyDescent="0.15">
      <c r="J172" s="266"/>
      <c r="K172" s="267"/>
      <c r="L172" s="267"/>
      <c r="M172" s="268" t="s">
        <v>367</v>
      </c>
      <c r="N172" s="269" t="str">
        <f>IF(K163&amp;L163&lt;&gt;"",IF($D$28&lt;&gt;"",$D$28,""),"")</f>
        <v/>
      </c>
      <c r="O172" s="270"/>
      <c r="P172" s="271" t="str">
        <f t="shared" si="16"/>
        <v/>
      </c>
      <c r="Q172" s="272"/>
      <c r="R172" s="255">
        <f t="shared" si="20"/>
        <v>0</v>
      </c>
      <c r="S172" s="255">
        <f>IF(S163&gt;0,R172*S163,99999999)</f>
        <v>99999999</v>
      </c>
      <c r="T172" s="262" t="str">
        <f t="shared" si="19"/>
        <v/>
      </c>
      <c r="U172" s="262" t="str">
        <f t="shared" si="18"/>
        <v/>
      </c>
    </row>
    <row r="173" spans="10:21" ht="17.25" customHeight="1" x14ac:dyDescent="0.15">
      <c r="J173" s="266"/>
      <c r="K173" s="267"/>
      <c r="L173" s="267"/>
      <c r="M173" s="268" t="s">
        <v>367</v>
      </c>
      <c r="N173" s="269" t="str">
        <f>IF(K163&amp;L163&lt;&gt;"",IF($D$29&lt;&gt;"",$D$29,""),"")</f>
        <v/>
      </c>
      <c r="O173" s="270"/>
      <c r="P173" s="271" t="str">
        <f t="shared" si="16"/>
        <v/>
      </c>
      <c r="Q173" s="272"/>
      <c r="R173" s="255">
        <f t="shared" si="20"/>
        <v>0</v>
      </c>
      <c r="S173" s="255">
        <f>IF(S163&gt;0,R173*S163,99999999)</f>
        <v>99999999</v>
      </c>
      <c r="T173" s="262" t="str">
        <f t="shared" si="19"/>
        <v/>
      </c>
      <c r="U173" s="262" t="str">
        <f t="shared" si="18"/>
        <v/>
      </c>
    </row>
    <row r="174" spans="10:21" ht="17.25" hidden="1" customHeight="1" outlineLevel="1" x14ac:dyDescent="0.15">
      <c r="J174" s="266"/>
      <c r="K174" s="267"/>
      <c r="L174" s="267"/>
      <c r="M174" s="268" t="s">
        <v>367</v>
      </c>
      <c r="N174" s="269" t="str">
        <f>IF(K163&amp;L163&lt;&gt;"",IF($D$30&lt;&gt;"",$D$30,""),"")</f>
        <v/>
      </c>
      <c r="O174" s="270"/>
      <c r="P174" s="271" t="str">
        <f t="shared" si="16"/>
        <v/>
      </c>
      <c r="Q174" s="272"/>
      <c r="R174" s="255">
        <f>IF(N174&lt;&gt;"",VLOOKUP(N174,$D$19:$E$34,2,FALSE),0)</f>
        <v>0</v>
      </c>
      <c r="S174" s="255">
        <f>IF(S163&gt;0,R174*S163,99999999)</f>
        <v>99999999</v>
      </c>
      <c r="T174" s="262" t="str">
        <f t="shared" si="19"/>
        <v/>
      </c>
      <c r="U174" s="262" t="str">
        <f t="shared" si="18"/>
        <v/>
      </c>
    </row>
    <row r="175" spans="10:21" ht="17.25" hidden="1" customHeight="1" outlineLevel="1" x14ac:dyDescent="0.15">
      <c r="J175" s="266"/>
      <c r="K175" s="267"/>
      <c r="L175" s="267"/>
      <c r="M175" s="268" t="s">
        <v>367</v>
      </c>
      <c r="N175" s="269" t="str">
        <f>IF(K163&amp;L163&lt;&gt;"",IF($D$31&lt;&gt;"",$D$31,""),"")</f>
        <v/>
      </c>
      <c r="O175" s="270"/>
      <c r="P175" s="271" t="str">
        <f t="shared" si="16"/>
        <v/>
      </c>
      <c r="Q175" s="272"/>
      <c r="R175" s="255">
        <f>IF(N175&lt;&gt;"",VLOOKUP(N175,$D$19:$E$34,2,FALSE),0)</f>
        <v>0</v>
      </c>
      <c r="S175" s="255">
        <f>IF(S163&gt;0,R175*S163,99999999)</f>
        <v>99999999</v>
      </c>
      <c r="T175" s="262" t="str">
        <f t="shared" si="19"/>
        <v/>
      </c>
      <c r="U175" s="262" t="str">
        <f t="shared" si="18"/>
        <v/>
      </c>
    </row>
    <row r="176" spans="10:21" ht="17.25" hidden="1" customHeight="1" outlineLevel="1" x14ac:dyDescent="0.15">
      <c r="J176" s="266"/>
      <c r="K176" s="267"/>
      <c r="L176" s="267"/>
      <c r="M176" s="268" t="s">
        <v>367</v>
      </c>
      <c r="N176" s="269" t="str">
        <f>IF(K163&amp;L163&lt;&gt;"",IF($D$32&lt;&gt;"",$D$32,""),"")</f>
        <v/>
      </c>
      <c r="O176" s="270"/>
      <c r="P176" s="271" t="str">
        <f t="shared" si="16"/>
        <v/>
      </c>
      <c r="Q176" s="272"/>
      <c r="R176" s="255">
        <f>IF(N176&lt;&gt;"",VLOOKUP(N176,$D$19:$E$34,2,FALSE),0)</f>
        <v>0</v>
      </c>
      <c r="S176" s="255">
        <f>IF(S163&gt;0,R176*S163,99999999)</f>
        <v>99999999</v>
      </c>
      <c r="T176" s="262" t="str">
        <f t="shared" si="19"/>
        <v/>
      </c>
      <c r="U176" s="262" t="str">
        <f t="shared" si="18"/>
        <v/>
      </c>
    </row>
    <row r="177" spans="10:21" ht="17.25" hidden="1" customHeight="1" outlineLevel="1" x14ac:dyDescent="0.15">
      <c r="J177" s="266"/>
      <c r="K177" s="267"/>
      <c r="L177" s="267"/>
      <c r="M177" s="268" t="s">
        <v>367</v>
      </c>
      <c r="N177" s="269" t="str">
        <f>IF(K163&amp;L163&lt;&gt;"",IF($D$33&lt;&gt;"",$D$33,""),"")</f>
        <v/>
      </c>
      <c r="O177" s="270"/>
      <c r="P177" s="271" t="str">
        <f t="shared" si="16"/>
        <v/>
      </c>
      <c r="Q177" s="272"/>
      <c r="R177" s="255">
        <f>IF(N177&lt;&gt;"",VLOOKUP(N177,$D$19:$E$34,2,FALSE),0)</f>
        <v>0</v>
      </c>
      <c r="S177" s="255">
        <f>IF(S163&gt;0,R177*S163,99999999)</f>
        <v>99999999</v>
      </c>
      <c r="T177" s="262" t="str">
        <f t="shared" si="19"/>
        <v/>
      </c>
      <c r="U177" s="262" t="str">
        <f t="shared" si="18"/>
        <v/>
      </c>
    </row>
    <row r="178" spans="10:21" ht="17.25" hidden="1" customHeight="1" outlineLevel="1" x14ac:dyDescent="0.15">
      <c r="J178" s="279"/>
      <c r="K178" s="280"/>
      <c r="L178" s="280"/>
      <c r="M178" s="281" t="s">
        <v>367</v>
      </c>
      <c r="N178" s="278" t="str">
        <f>IF(K163&amp;L163&lt;&gt;"",IF($D$34&lt;&gt;"",$D$34,""),"")</f>
        <v/>
      </c>
      <c r="O178" s="282"/>
      <c r="P178" s="271" t="str">
        <f t="shared" si="16"/>
        <v/>
      </c>
      <c r="Q178" s="283"/>
      <c r="R178" s="255">
        <f>IF(N178&lt;&gt;"",VLOOKUP(N178,$D$19:$E$34,2,FALSE),0)</f>
        <v>0</v>
      </c>
      <c r="S178" s="255">
        <f>IF(S163&gt;0,R178*S163,99999999)</f>
        <v>99999999</v>
      </c>
      <c r="T178" s="262" t="str">
        <f t="shared" si="19"/>
        <v/>
      </c>
      <c r="U178" s="262" t="str">
        <f t="shared" si="18"/>
        <v/>
      </c>
    </row>
    <row r="179" spans="10:21" ht="17.25" customHeight="1" collapsed="1" x14ac:dyDescent="0.15">
      <c r="J179" s="256">
        <v>11</v>
      </c>
      <c r="K179" s="257"/>
      <c r="L179" s="257"/>
      <c r="M179" s="258" t="s">
        <v>366</v>
      </c>
      <c r="N179" s="259" t="str">
        <f>IF(K179&amp;L179&lt;&gt;"",IF($D$19&lt;&gt;"",$D$19,""),"")</f>
        <v/>
      </c>
      <c r="O179" s="257"/>
      <c r="P179" s="260" t="str">
        <f t="shared" si="16"/>
        <v/>
      </c>
      <c r="Q179" s="261"/>
      <c r="R179" s="255">
        <f t="shared" ref="R179:R189" si="21">IF(N179&lt;&gt;"",VLOOKUP(N179,$D$19:$E$29,2,FALSE),0)</f>
        <v>0</v>
      </c>
      <c r="S179" s="255">
        <f>IF($E$19&gt;0,IF(MOD(O179,$E$19)=0,O179/$E$19,-1),-1)</f>
        <v>-1</v>
      </c>
      <c r="T179" s="262" t="str">
        <f>IF(N179&lt;&gt;"",IF(O179&lt;&gt;"",IF(S179&gt;0,"OK","数量が不足しています"),"数量が未入力です"),"")</f>
        <v/>
      </c>
      <c r="U179" s="262" t="str">
        <f t="shared" si="18"/>
        <v/>
      </c>
    </row>
    <row r="180" spans="10:21" ht="17.25" customHeight="1" x14ac:dyDescent="0.15">
      <c r="J180" s="266"/>
      <c r="K180" s="267"/>
      <c r="L180" s="267"/>
      <c r="M180" s="268" t="s">
        <v>367</v>
      </c>
      <c r="N180" s="269" t="str">
        <f>IF(K179&amp;L179&lt;&gt;"",IF($D$20&lt;&gt;"",$D$20,""),"")</f>
        <v/>
      </c>
      <c r="O180" s="270"/>
      <c r="P180" s="271" t="str">
        <f t="shared" si="16"/>
        <v/>
      </c>
      <c r="Q180" s="272"/>
      <c r="R180" s="255">
        <f t="shared" si="21"/>
        <v>0</v>
      </c>
      <c r="S180" s="255">
        <f>IF(S179&gt;0,R180*S179,99999999)</f>
        <v>99999999</v>
      </c>
      <c r="T180" s="262" t="str">
        <f t="shared" si="19"/>
        <v/>
      </c>
      <c r="U180" s="262" t="str">
        <f t="shared" si="18"/>
        <v/>
      </c>
    </row>
    <row r="181" spans="10:21" ht="17.25" customHeight="1" x14ac:dyDescent="0.15">
      <c r="J181" s="266"/>
      <c r="K181" s="267"/>
      <c r="L181" s="267"/>
      <c r="M181" s="268" t="s">
        <v>367</v>
      </c>
      <c r="N181" s="269" t="str">
        <f>IF(K179&amp;L179&lt;&gt;"",IF($D$21&lt;&gt;"",$D$21,""),"")</f>
        <v/>
      </c>
      <c r="O181" s="270"/>
      <c r="P181" s="271" t="str">
        <f t="shared" si="16"/>
        <v/>
      </c>
      <c r="Q181" s="272"/>
      <c r="R181" s="255">
        <f t="shared" si="21"/>
        <v>0</v>
      </c>
      <c r="S181" s="255">
        <f>IF(S179&gt;0,R181*S179,99999999)</f>
        <v>99999999</v>
      </c>
      <c r="T181" s="262" t="str">
        <f t="shared" si="19"/>
        <v/>
      </c>
      <c r="U181" s="262" t="str">
        <f t="shared" si="18"/>
        <v/>
      </c>
    </row>
    <row r="182" spans="10:21" ht="17.25" customHeight="1" x14ac:dyDescent="0.15">
      <c r="J182" s="266"/>
      <c r="K182" s="267"/>
      <c r="L182" s="267"/>
      <c r="M182" s="268" t="s">
        <v>367</v>
      </c>
      <c r="N182" s="269" t="str">
        <f>IF(K179&amp;L179&lt;&gt;"",IF($D$22&lt;&gt;"",$D$22,""),"")</f>
        <v/>
      </c>
      <c r="O182" s="270"/>
      <c r="P182" s="271" t="str">
        <f t="shared" si="16"/>
        <v/>
      </c>
      <c r="Q182" s="272"/>
      <c r="R182" s="255">
        <f t="shared" si="21"/>
        <v>0</v>
      </c>
      <c r="S182" s="255">
        <f>IF(S179&gt;0,R182*S179,99999999)</f>
        <v>99999999</v>
      </c>
      <c r="T182" s="262" t="str">
        <f t="shared" si="19"/>
        <v/>
      </c>
      <c r="U182" s="262" t="str">
        <f t="shared" si="18"/>
        <v/>
      </c>
    </row>
    <row r="183" spans="10:21" ht="17.25" customHeight="1" x14ac:dyDescent="0.15">
      <c r="J183" s="266"/>
      <c r="K183" s="267"/>
      <c r="L183" s="267"/>
      <c r="M183" s="268" t="s">
        <v>367</v>
      </c>
      <c r="N183" s="269" t="str">
        <f>IF(K179&amp;L179&lt;&gt;"",IF($D$23&lt;&gt;"",$D$23,""),"")</f>
        <v/>
      </c>
      <c r="O183" s="270"/>
      <c r="P183" s="271" t="str">
        <f t="shared" si="16"/>
        <v/>
      </c>
      <c r="Q183" s="272"/>
      <c r="R183" s="255">
        <f t="shared" si="21"/>
        <v>0</v>
      </c>
      <c r="S183" s="255">
        <f>IF(S179&gt;0,R183*S179,99999999)</f>
        <v>99999999</v>
      </c>
      <c r="T183" s="262" t="str">
        <f t="shared" si="19"/>
        <v/>
      </c>
      <c r="U183" s="262" t="str">
        <f t="shared" si="18"/>
        <v/>
      </c>
    </row>
    <row r="184" spans="10:21" ht="17.25" customHeight="1" x14ac:dyDescent="0.15">
      <c r="J184" s="266"/>
      <c r="K184" s="267"/>
      <c r="L184" s="267"/>
      <c r="M184" s="268" t="s">
        <v>367</v>
      </c>
      <c r="N184" s="269" t="str">
        <f>IF(K179&amp;L179&lt;&gt;"",IF($D$24&lt;&gt;"",$D$24,""),"")</f>
        <v/>
      </c>
      <c r="O184" s="270"/>
      <c r="P184" s="271" t="str">
        <f t="shared" si="16"/>
        <v/>
      </c>
      <c r="Q184" s="272"/>
      <c r="R184" s="255">
        <f t="shared" si="21"/>
        <v>0</v>
      </c>
      <c r="S184" s="255">
        <f>IF(S179&gt;0,R184*S179,99999999)</f>
        <v>99999999</v>
      </c>
      <c r="T184" s="262" t="str">
        <f t="shared" si="19"/>
        <v/>
      </c>
      <c r="U184" s="262" t="str">
        <f t="shared" si="18"/>
        <v/>
      </c>
    </row>
    <row r="185" spans="10:21" ht="17.25" customHeight="1" x14ac:dyDescent="0.15">
      <c r="J185" s="266"/>
      <c r="K185" s="267"/>
      <c r="L185" s="267"/>
      <c r="M185" s="268" t="s">
        <v>367</v>
      </c>
      <c r="N185" s="269" t="str">
        <f>IF(K179&amp;L179&lt;&gt;"",IF($D$25&lt;&gt;"",$D$25,""),"")</f>
        <v/>
      </c>
      <c r="O185" s="270"/>
      <c r="P185" s="271" t="str">
        <f t="shared" si="16"/>
        <v/>
      </c>
      <c r="Q185" s="272"/>
      <c r="R185" s="255">
        <f t="shared" si="21"/>
        <v>0</v>
      </c>
      <c r="S185" s="255">
        <f>IF(S179&gt;0,R185*S179,99999999)</f>
        <v>99999999</v>
      </c>
      <c r="T185" s="262" t="str">
        <f t="shared" si="19"/>
        <v/>
      </c>
      <c r="U185" s="262" t="str">
        <f t="shared" si="18"/>
        <v/>
      </c>
    </row>
    <row r="186" spans="10:21" ht="17.25" customHeight="1" x14ac:dyDescent="0.15">
      <c r="J186" s="266"/>
      <c r="K186" s="267"/>
      <c r="L186" s="267"/>
      <c r="M186" s="268" t="s">
        <v>367</v>
      </c>
      <c r="N186" s="269" t="str">
        <f>IF(K179&amp;L179&lt;&gt;"",IF($D$26&lt;&gt;"",$D$26,""),"")</f>
        <v/>
      </c>
      <c r="O186" s="270"/>
      <c r="P186" s="271" t="str">
        <f t="shared" si="16"/>
        <v/>
      </c>
      <c r="Q186" s="272"/>
      <c r="R186" s="255">
        <f t="shared" si="21"/>
        <v>0</v>
      </c>
      <c r="S186" s="255">
        <f>IF(S179&gt;0,R186*S179,99999999)</f>
        <v>99999999</v>
      </c>
      <c r="T186" s="262" t="str">
        <f t="shared" si="19"/>
        <v/>
      </c>
      <c r="U186" s="262" t="str">
        <f t="shared" si="18"/>
        <v/>
      </c>
    </row>
    <row r="187" spans="10:21" ht="17.25" customHeight="1" x14ac:dyDescent="0.15">
      <c r="J187" s="266"/>
      <c r="K187" s="267"/>
      <c r="L187" s="267"/>
      <c r="M187" s="268" t="s">
        <v>367</v>
      </c>
      <c r="N187" s="269" t="str">
        <f>IF(K179&amp;L179&lt;&gt;"",IF($D$27&lt;&gt;"",$D$27,""),"")</f>
        <v/>
      </c>
      <c r="O187" s="270"/>
      <c r="P187" s="271" t="str">
        <f t="shared" si="16"/>
        <v/>
      </c>
      <c r="Q187" s="272"/>
      <c r="R187" s="255">
        <f t="shared" si="21"/>
        <v>0</v>
      </c>
      <c r="S187" s="255">
        <f>IF(S179&gt;0,R187*S179,99999999)</f>
        <v>99999999</v>
      </c>
      <c r="T187" s="262" t="str">
        <f t="shared" si="19"/>
        <v/>
      </c>
      <c r="U187" s="262" t="str">
        <f t="shared" si="18"/>
        <v/>
      </c>
    </row>
    <row r="188" spans="10:21" ht="17.25" customHeight="1" x14ac:dyDescent="0.15">
      <c r="J188" s="266"/>
      <c r="K188" s="267"/>
      <c r="L188" s="267"/>
      <c r="M188" s="268" t="s">
        <v>367</v>
      </c>
      <c r="N188" s="269" t="str">
        <f>IF(K179&amp;L179&lt;&gt;"",IF($D$28&lt;&gt;"",$D$28,""),"")</f>
        <v/>
      </c>
      <c r="O188" s="270"/>
      <c r="P188" s="271" t="str">
        <f t="shared" si="16"/>
        <v/>
      </c>
      <c r="Q188" s="272"/>
      <c r="R188" s="255">
        <f t="shared" si="21"/>
        <v>0</v>
      </c>
      <c r="S188" s="255">
        <f>IF(S179&gt;0,R188*S179,99999999)</f>
        <v>99999999</v>
      </c>
      <c r="T188" s="262" t="str">
        <f t="shared" si="19"/>
        <v/>
      </c>
      <c r="U188" s="262" t="str">
        <f t="shared" si="18"/>
        <v/>
      </c>
    </row>
    <row r="189" spans="10:21" ht="17.25" customHeight="1" x14ac:dyDescent="0.15">
      <c r="J189" s="266"/>
      <c r="K189" s="267"/>
      <c r="L189" s="267"/>
      <c r="M189" s="268" t="s">
        <v>367</v>
      </c>
      <c r="N189" s="269" t="str">
        <f>IF(K179&amp;L179&lt;&gt;"",IF($D$29&lt;&gt;"",$D$29,""),"")</f>
        <v/>
      </c>
      <c r="O189" s="270"/>
      <c r="P189" s="271" t="str">
        <f t="shared" si="16"/>
        <v/>
      </c>
      <c r="Q189" s="272"/>
      <c r="R189" s="255">
        <f t="shared" si="21"/>
        <v>0</v>
      </c>
      <c r="S189" s="255">
        <f>IF(S179&gt;0,R189*S179,99999999)</f>
        <v>99999999</v>
      </c>
      <c r="T189" s="262" t="str">
        <f t="shared" si="19"/>
        <v/>
      </c>
      <c r="U189" s="262" t="str">
        <f t="shared" si="18"/>
        <v/>
      </c>
    </row>
    <row r="190" spans="10:21" ht="17.25" hidden="1" customHeight="1" outlineLevel="1" x14ac:dyDescent="0.15">
      <c r="J190" s="266"/>
      <c r="K190" s="267"/>
      <c r="L190" s="267"/>
      <c r="M190" s="268" t="s">
        <v>367</v>
      </c>
      <c r="N190" s="269" t="str">
        <f>IF(K179&amp;L179&lt;&gt;"",IF($D$30&lt;&gt;"",$D$30,""),"")</f>
        <v/>
      </c>
      <c r="O190" s="270"/>
      <c r="P190" s="271" t="str">
        <f t="shared" si="16"/>
        <v/>
      </c>
      <c r="Q190" s="272"/>
      <c r="R190" s="255">
        <f>IF(N190&lt;&gt;"",VLOOKUP(N190,$D$19:$E$34,2,FALSE),0)</f>
        <v>0</v>
      </c>
      <c r="S190" s="255">
        <f>IF(S179&gt;0,R190*S179,99999999)</f>
        <v>99999999</v>
      </c>
      <c r="T190" s="262" t="str">
        <f t="shared" si="19"/>
        <v/>
      </c>
      <c r="U190" s="262" t="str">
        <f t="shared" si="18"/>
        <v/>
      </c>
    </row>
    <row r="191" spans="10:21" ht="17.25" hidden="1" customHeight="1" outlineLevel="1" x14ac:dyDescent="0.15">
      <c r="J191" s="266"/>
      <c r="K191" s="267"/>
      <c r="L191" s="267"/>
      <c r="M191" s="268" t="s">
        <v>367</v>
      </c>
      <c r="N191" s="269" t="str">
        <f>IF(K179&amp;L179&lt;&gt;"",IF($D$31&lt;&gt;"",$D$31,""),"")</f>
        <v/>
      </c>
      <c r="O191" s="270"/>
      <c r="P191" s="271" t="str">
        <f t="shared" si="16"/>
        <v/>
      </c>
      <c r="Q191" s="272"/>
      <c r="R191" s="255">
        <f>IF(N191&lt;&gt;"",VLOOKUP(N191,$D$19:$E$34,2,FALSE),0)</f>
        <v>0</v>
      </c>
      <c r="S191" s="255">
        <f>IF(S179&gt;0,R191*S179,99999999)</f>
        <v>99999999</v>
      </c>
      <c r="T191" s="262" t="str">
        <f t="shared" si="19"/>
        <v/>
      </c>
      <c r="U191" s="262" t="str">
        <f t="shared" si="18"/>
        <v/>
      </c>
    </row>
    <row r="192" spans="10:21" ht="17.25" hidden="1" customHeight="1" outlineLevel="1" x14ac:dyDescent="0.15">
      <c r="J192" s="266"/>
      <c r="K192" s="267"/>
      <c r="L192" s="267"/>
      <c r="M192" s="268" t="s">
        <v>367</v>
      </c>
      <c r="N192" s="269" t="str">
        <f>IF(K179&amp;L179&lt;&gt;"",IF($D$32&lt;&gt;"",$D$32,""),"")</f>
        <v/>
      </c>
      <c r="O192" s="270"/>
      <c r="P192" s="271" t="str">
        <f t="shared" si="16"/>
        <v/>
      </c>
      <c r="Q192" s="272"/>
      <c r="R192" s="255">
        <f>IF(N192&lt;&gt;"",VLOOKUP(N192,$D$19:$E$34,2,FALSE),0)</f>
        <v>0</v>
      </c>
      <c r="S192" s="255">
        <f>IF(S179&gt;0,R192*S179,99999999)</f>
        <v>99999999</v>
      </c>
      <c r="T192" s="262" t="str">
        <f t="shared" si="19"/>
        <v/>
      </c>
      <c r="U192" s="262" t="str">
        <f t="shared" si="18"/>
        <v/>
      </c>
    </row>
    <row r="193" spans="10:21" ht="17.25" hidden="1" customHeight="1" outlineLevel="1" x14ac:dyDescent="0.15">
      <c r="J193" s="266"/>
      <c r="K193" s="267"/>
      <c r="L193" s="267"/>
      <c r="M193" s="268" t="s">
        <v>367</v>
      </c>
      <c r="N193" s="269" t="str">
        <f>IF(K179&amp;L179&lt;&gt;"",IF($D$33&lt;&gt;"",$D$33,""),"")</f>
        <v/>
      </c>
      <c r="O193" s="270"/>
      <c r="P193" s="271" t="str">
        <f t="shared" si="16"/>
        <v/>
      </c>
      <c r="Q193" s="272"/>
      <c r="R193" s="255">
        <f>IF(N193&lt;&gt;"",VLOOKUP(N193,$D$19:$E$34,2,FALSE),0)</f>
        <v>0</v>
      </c>
      <c r="S193" s="255">
        <f>IF(S179&gt;0,R193*S179,99999999)</f>
        <v>99999999</v>
      </c>
      <c r="T193" s="262" t="str">
        <f t="shared" si="19"/>
        <v/>
      </c>
      <c r="U193" s="262" t="str">
        <f t="shared" si="18"/>
        <v/>
      </c>
    </row>
    <row r="194" spans="10:21" ht="17.25" hidden="1" customHeight="1" outlineLevel="1" x14ac:dyDescent="0.15">
      <c r="J194" s="279"/>
      <c r="K194" s="280"/>
      <c r="L194" s="280"/>
      <c r="M194" s="281" t="s">
        <v>367</v>
      </c>
      <c r="N194" s="278" t="str">
        <f>IF(K179&amp;L179&lt;&gt;"",IF($D$34&lt;&gt;"",$D$34,""),"")</f>
        <v/>
      </c>
      <c r="O194" s="282"/>
      <c r="P194" s="271" t="str">
        <f t="shared" si="16"/>
        <v/>
      </c>
      <c r="Q194" s="283"/>
      <c r="R194" s="255">
        <f>IF(N194&lt;&gt;"",VLOOKUP(N194,$D$19:$E$34,2,FALSE),0)</f>
        <v>0</v>
      </c>
      <c r="S194" s="255">
        <f>IF(S179&gt;0,R194*S179,99999999)</f>
        <v>99999999</v>
      </c>
      <c r="T194" s="262" t="str">
        <f t="shared" si="19"/>
        <v/>
      </c>
      <c r="U194" s="262" t="str">
        <f t="shared" si="18"/>
        <v/>
      </c>
    </row>
    <row r="195" spans="10:21" ht="17.25" customHeight="1" collapsed="1" x14ac:dyDescent="0.15">
      <c r="J195" s="256">
        <v>12</v>
      </c>
      <c r="K195" s="257"/>
      <c r="L195" s="257"/>
      <c r="M195" s="258" t="s">
        <v>366</v>
      </c>
      <c r="N195" s="259" t="str">
        <f>IF(K195&amp;L195&lt;&gt;"",IF($D$19&lt;&gt;"",$D$19,""),"")</f>
        <v/>
      </c>
      <c r="O195" s="257"/>
      <c r="P195" s="260" t="str">
        <f t="shared" si="16"/>
        <v/>
      </c>
      <c r="Q195" s="261"/>
      <c r="R195" s="255">
        <f t="shared" ref="R195:R205" si="22">IF(N195&lt;&gt;"",VLOOKUP(N195,$D$19:$E$29,2,FALSE),0)</f>
        <v>0</v>
      </c>
      <c r="S195" s="255">
        <f>IF($E$19&gt;0,IF(MOD(O195,$E$19)=0,O195/$E$19,-1),-1)</f>
        <v>-1</v>
      </c>
      <c r="T195" s="262" t="str">
        <f>IF(N195&lt;&gt;"",IF(O195&lt;&gt;"",IF(S195&gt;0,"OK","数量が不足しています"),"数量が未入力です"),"")</f>
        <v/>
      </c>
      <c r="U195" s="262" t="str">
        <f t="shared" si="18"/>
        <v/>
      </c>
    </row>
    <row r="196" spans="10:21" ht="17.25" customHeight="1" x14ac:dyDescent="0.15">
      <c r="J196" s="266"/>
      <c r="K196" s="267"/>
      <c r="L196" s="267"/>
      <c r="M196" s="268" t="s">
        <v>367</v>
      </c>
      <c r="N196" s="269" t="str">
        <f>IF(K195&amp;L195&lt;&gt;"",IF($D$20&lt;&gt;"",$D$20,""),"")</f>
        <v/>
      </c>
      <c r="O196" s="270"/>
      <c r="P196" s="271" t="str">
        <f t="shared" si="16"/>
        <v/>
      </c>
      <c r="Q196" s="272"/>
      <c r="R196" s="255">
        <f t="shared" si="22"/>
        <v>0</v>
      </c>
      <c r="S196" s="255">
        <f>IF(S195&gt;0,R196*S195,99999999)</f>
        <v>99999999</v>
      </c>
      <c r="T196" s="262" t="str">
        <f t="shared" si="19"/>
        <v/>
      </c>
      <c r="U196" s="262" t="str">
        <f t="shared" si="18"/>
        <v/>
      </c>
    </row>
    <row r="197" spans="10:21" ht="17.25" customHeight="1" x14ac:dyDescent="0.15">
      <c r="J197" s="266"/>
      <c r="K197" s="267"/>
      <c r="L197" s="267"/>
      <c r="M197" s="268" t="s">
        <v>367</v>
      </c>
      <c r="N197" s="269" t="str">
        <f>IF(K195&amp;L195&lt;&gt;"",IF($D$21&lt;&gt;"",$D$21,""),"")</f>
        <v/>
      </c>
      <c r="O197" s="270"/>
      <c r="P197" s="271" t="str">
        <f t="shared" si="16"/>
        <v/>
      </c>
      <c r="Q197" s="272"/>
      <c r="R197" s="255">
        <f t="shared" si="22"/>
        <v>0</v>
      </c>
      <c r="S197" s="255">
        <f>IF(S195&gt;0,R197*S195,99999999)</f>
        <v>99999999</v>
      </c>
      <c r="T197" s="262" t="str">
        <f t="shared" si="19"/>
        <v/>
      </c>
      <c r="U197" s="262" t="str">
        <f t="shared" si="18"/>
        <v/>
      </c>
    </row>
    <row r="198" spans="10:21" ht="17.25" customHeight="1" x14ac:dyDescent="0.15">
      <c r="J198" s="266"/>
      <c r="K198" s="267"/>
      <c r="L198" s="267"/>
      <c r="M198" s="268" t="s">
        <v>367</v>
      </c>
      <c r="N198" s="269" t="str">
        <f>IF(K195&amp;L195&lt;&gt;"",IF($D$22&lt;&gt;"",$D$22,""),"")</f>
        <v/>
      </c>
      <c r="O198" s="270"/>
      <c r="P198" s="271" t="str">
        <f t="shared" si="16"/>
        <v/>
      </c>
      <c r="Q198" s="272"/>
      <c r="R198" s="255">
        <f t="shared" si="22"/>
        <v>0</v>
      </c>
      <c r="S198" s="255">
        <f>IF(S195&gt;0,R198*S195,99999999)</f>
        <v>99999999</v>
      </c>
      <c r="T198" s="262" t="str">
        <f t="shared" si="19"/>
        <v/>
      </c>
      <c r="U198" s="262" t="str">
        <f t="shared" si="18"/>
        <v/>
      </c>
    </row>
    <row r="199" spans="10:21" ht="17.25" customHeight="1" x14ac:dyDescent="0.15">
      <c r="J199" s="266"/>
      <c r="K199" s="267"/>
      <c r="L199" s="267"/>
      <c r="M199" s="268" t="s">
        <v>367</v>
      </c>
      <c r="N199" s="269" t="str">
        <f>IF(K195&amp;L195&lt;&gt;"",IF($D$23&lt;&gt;"",$D$23,""),"")</f>
        <v/>
      </c>
      <c r="O199" s="270"/>
      <c r="P199" s="271" t="str">
        <f t="shared" si="16"/>
        <v/>
      </c>
      <c r="Q199" s="272"/>
      <c r="R199" s="255">
        <f t="shared" si="22"/>
        <v>0</v>
      </c>
      <c r="S199" s="255">
        <f>IF(S195&gt;0,R199*S195,99999999)</f>
        <v>99999999</v>
      </c>
      <c r="T199" s="262" t="str">
        <f t="shared" si="19"/>
        <v/>
      </c>
      <c r="U199" s="262" t="str">
        <f t="shared" si="18"/>
        <v/>
      </c>
    </row>
    <row r="200" spans="10:21" ht="17.25" customHeight="1" x14ac:dyDescent="0.15">
      <c r="J200" s="266"/>
      <c r="K200" s="267"/>
      <c r="L200" s="267"/>
      <c r="M200" s="268" t="s">
        <v>367</v>
      </c>
      <c r="N200" s="269" t="str">
        <f>IF(K195&amp;L195&lt;&gt;"",IF($D$24&lt;&gt;"",$D$24,""),"")</f>
        <v/>
      </c>
      <c r="O200" s="270"/>
      <c r="P200" s="271" t="str">
        <f t="shared" si="16"/>
        <v/>
      </c>
      <c r="Q200" s="272"/>
      <c r="R200" s="255">
        <f t="shared" si="22"/>
        <v>0</v>
      </c>
      <c r="S200" s="255">
        <f>IF(S195&gt;0,R200*S195,99999999)</f>
        <v>99999999</v>
      </c>
      <c r="T200" s="262" t="str">
        <f t="shared" si="19"/>
        <v/>
      </c>
      <c r="U200" s="262" t="str">
        <f t="shared" si="18"/>
        <v/>
      </c>
    </row>
    <row r="201" spans="10:21" ht="17.25" customHeight="1" x14ac:dyDescent="0.15">
      <c r="J201" s="266"/>
      <c r="K201" s="267"/>
      <c r="L201" s="267"/>
      <c r="M201" s="268" t="s">
        <v>367</v>
      </c>
      <c r="N201" s="269" t="str">
        <f>IF(K195&amp;L195&lt;&gt;"",IF($D$25&lt;&gt;"",$D$25,""),"")</f>
        <v/>
      </c>
      <c r="O201" s="270"/>
      <c r="P201" s="271" t="str">
        <f t="shared" si="16"/>
        <v/>
      </c>
      <c r="Q201" s="272"/>
      <c r="R201" s="255">
        <f t="shared" si="22"/>
        <v>0</v>
      </c>
      <c r="S201" s="255">
        <f>IF(S195&gt;0,R201*S195,99999999)</f>
        <v>99999999</v>
      </c>
      <c r="T201" s="262" t="str">
        <f t="shared" si="19"/>
        <v/>
      </c>
      <c r="U201" s="262" t="str">
        <f t="shared" si="18"/>
        <v/>
      </c>
    </row>
    <row r="202" spans="10:21" ht="17.25" customHeight="1" x14ac:dyDescent="0.15">
      <c r="J202" s="266"/>
      <c r="K202" s="267"/>
      <c r="L202" s="267"/>
      <c r="M202" s="268" t="s">
        <v>367</v>
      </c>
      <c r="N202" s="269" t="str">
        <f>IF(K195&amp;L195&lt;&gt;"",IF($D$26&lt;&gt;"",$D$26,""),"")</f>
        <v/>
      </c>
      <c r="O202" s="270"/>
      <c r="P202" s="271" t="str">
        <f t="shared" si="16"/>
        <v/>
      </c>
      <c r="Q202" s="272"/>
      <c r="R202" s="255">
        <f t="shared" si="22"/>
        <v>0</v>
      </c>
      <c r="S202" s="255">
        <f>IF(S195&gt;0,R202*S195,99999999)</f>
        <v>99999999</v>
      </c>
      <c r="T202" s="262" t="str">
        <f t="shared" si="19"/>
        <v/>
      </c>
      <c r="U202" s="262" t="str">
        <f t="shared" si="18"/>
        <v/>
      </c>
    </row>
    <row r="203" spans="10:21" ht="17.25" customHeight="1" x14ac:dyDescent="0.15">
      <c r="J203" s="266"/>
      <c r="K203" s="267"/>
      <c r="L203" s="267"/>
      <c r="M203" s="268" t="s">
        <v>367</v>
      </c>
      <c r="N203" s="269" t="str">
        <f>IF(K195&amp;L195&lt;&gt;"",IF($D$27&lt;&gt;"",$D$27,""),"")</f>
        <v/>
      </c>
      <c r="O203" s="270"/>
      <c r="P203" s="271" t="str">
        <f t="shared" si="16"/>
        <v/>
      </c>
      <c r="Q203" s="272"/>
      <c r="R203" s="255">
        <f t="shared" si="22"/>
        <v>0</v>
      </c>
      <c r="S203" s="255">
        <f>IF(S195&gt;0,R203*S195,99999999)</f>
        <v>99999999</v>
      </c>
      <c r="T203" s="262" t="str">
        <f t="shared" si="19"/>
        <v/>
      </c>
      <c r="U203" s="262" t="str">
        <f t="shared" si="18"/>
        <v/>
      </c>
    </row>
    <row r="204" spans="10:21" ht="17.25" customHeight="1" x14ac:dyDescent="0.15">
      <c r="J204" s="266"/>
      <c r="K204" s="267"/>
      <c r="L204" s="267"/>
      <c r="M204" s="268" t="s">
        <v>367</v>
      </c>
      <c r="N204" s="269" t="str">
        <f>IF(K195&amp;L195&lt;&gt;"",IF($D$28&lt;&gt;"",$D$28,""),"")</f>
        <v/>
      </c>
      <c r="O204" s="270"/>
      <c r="P204" s="271" t="str">
        <f t="shared" si="16"/>
        <v/>
      </c>
      <c r="Q204" s="272"/>
      <c r="R204" s="255">
        <f t="shared" si="22"/>
        <v>0</v>
      </c>
      <c r="S204" s="255">
        <f>IF(S195&gt;0,R204*S195,99999999)</f>
        <v>99999999</v>
      </c>
      <c r="T204" s="262" t="str">
        <f t="shared" si="19"/>
        <v/>
      </c>
      <c r="U204" s="262" t="str">
        <f t="shared" si="18"/>
        <v/>
      </c>
    </row>
    <row r="205" spans="10:21" ht="17.25" customHeight="1" x14ac:dyDescent="0.15">
      <c r="J205" s="266"/>
      <c r="K205" s="267"/>
      <c r="L205" s="267"/>
      <c r="M205" s="268" t="s">
        <v>367</v>
      </c>
      <c r="N205" s="269" t="str">
        <f>IF(K195&amp;L195&lt;&gt;"",IF($D$29&lt;&gt;"",$D$29,""),"")</f>
        <v/>
      </c>
      <c r="O205" s="270"/>
      <c r="P205" s="271" t="str">
        <f t="shared" si="16"/>
        <v/>
      </c>
      <c r="Q205" s="272"/>
      <c r="R205" s="255">
        <f t="shared" si="22"/>
        <v>0</v>
      </c>
      <c r="S205" s="255">
        <f>IF(S195&gt;0,R205*S195,99999999)</f>
        <v>99999999</v>
      </c>
      <c r="T205" s="262" t="str">
        <f t="shared" si="19"/>
        <v/>
      </c>
      <c r="U205" s="262" t="str">
        <f t="shared" si="18"/>
        <v/>
      </c>
    </row>
    <row r="206" spans="10:21" ht="17.25" hidden="1" customHeight="1" outlineLevel="1" x14ac:dyDescent="0.15">
      <c r="J206" s="266"/>
      <c r="K206" s="267"/>
      <c r="L206" s="267"/>
      <c r="M206" s="268" t="s">
        <v>367</v>
      </c>
      <c r="N206" s="269" t="str">
        <f>IF(K195&amp;L195&lt;&gt;"",IF($D$30&lt;&gt;"",$D$30,""),"")</f>
        <v/>
      </c>
      <c r="O206" s="270"/>
      <c r="P206" s="271" t="str">
        <f t="shared" si="16"/>
        <v/>
      </c>
      <c r="Q206" s="272"/>
      <c r="R206" s="255">
        <f>IF(N206&lt;&gt;"",VLOOKUP(N206,$D$19:$E$34,2,FALSE),0)</f>
        <v>0</v>
      </c>
      <c r="S206" s="255">
        <f>IF(S195&gt;0,R206*S195,99999999)</f>
        <v>99999999</v>
      </c>
      <c r="T206" s="262" t="str">
        <f t="shared" si="19"/>
        <v/>
      </c>
      <c r="U206" s="262" t="str">
        <f t="shared" si="18"/>
        <v/>
      </c>
    </row>
    <row r="207" spans="10:21" ht="17.25" hidden="1" customHeight="1" outlineLevel="1" x14ac:dyDescent="0.15">
      <c r="J207" s="266"/>
      <c r="K207" s="267"/>
      <c r="L207" s="267"/>
      <c r="M207" s="268" t="s">
        <v>367</v>
      </c>
      <c r="N207" s="269" t="str">
        <f>IF(K195&amp;L195&lt;&gt;"",IF($D$31&lt;&gt;"",$D$31,""),"")</f>
        <v/>
      </c>
      <c r="O207" s="270"/>
      <c r="P207" s="271" t="str">
        <f t="shared" si="16"/>
        <v/>
      </c>
      <c r="Q207" s="272"/>
      <c r="R207" s="255">
        <f>IF(N207&lt;&gt;"",VLOOKUP(N207,$D$19:$E$34,2,FALSE),0)</f>
        <v>0</v>
      </c>
      <c r="S207" s="255">
        <f>IF(S195&gt;0,R207*S195,99999999)</f>
        <v>99999999</v>
      </c>
      <c r="T207" s="262" t="str">
        <f t="shared" si="19"/>
        <v/>
      </c>
      <c r="U207" s="262" t="str">
        <f t="shared" si="18"/>
        <v/>
      </c>
    </row>
    <row r="208" spans="10:21" ht="17.25" hidden="1" customHeight="1" outlineLevel="1" x14ac:dyDescent="0.15">
      <c r="J208" s="266"/>
      <c r="K208" s="267"/>
      <c r="L208" s="267"/>
      <c r="M208" s="268" t="s">
        <v>367</v>
      </c>
      <c r="N208" s="269" t="str">
        <f>IF(K195&amp;L195&lt;&gt;"",IF($D$32&lt;&gt;"",$D$32,""),"")</f>
        <v/>
      </c>
      <c r="O208" s="270"/>
      <c r="P208" s="271" t="str">
        <f t="shared" si="16"/>
        <v/>
      </c>
      <c r="Q208" s="272"/>
      <c r="R208" s="255">
        <f>IF(N208&lt;&gt;"",VLOOKUP(N208,$D$19:$E$34,2,FALSE),0)</f>
        <v>0</v>
      </c>
      <c r="S208" s="255">
        <f>IF(S195&gt;0,R208*S195,99999999)</f>
        <v>99999999</v>
      </c>
      <c r="T208" s="262" t="str">
        <f t="shared" si="19"/>
        <v/>
      </c>
      <c r="U208" s="262" t="str">
        <f t="shared" si="18"/>
        <v/>
      </c>
    </row>
    <row r="209" spans="10:21" ht="17.25" hidden="1" customHeight="1" outlineLevel="1" x14ac:dyDescent="0.15">
      <c r="J209" s="266"/>
      <c r="K209" s="267"/>
      <c r="L209" s="267"/>
      <c r="M209" s="268" t="s">
        <v>367</v>
      </c>
      <c r="N209" s="269" t="str">
        <f>IF(K195&amp;L195&lt;&gt;"",IF($D$33&lt;&gt;"",$D$33,""),"")</f>
        <v/>
      </c>
      <c r="O209" s="270"/>
      <c r="P209" s="271" t="str">
        <f t="shared" si="16"/>
        <v/>
      </c>
      <c r="Q209" s="272"/>
      <c r="R209" s="255">
        <f>IF(N209&lt;&gt;"",VLOOKUP(N209,$D$19:$E$34,2,FALSE),0)</f>
        <v>0</v>
      </c>
      <c r="S209" s="255">
        <f>IF(S195&gt;0,R209*S195,99999999)</f>
        <v>99999999</v>
      </c>
      <c r="T209" s="262" t="str">
        <f t="shared" si="19"/>
        <v/>
      </c>
      <c r="U209" s="262" t="str">
        <f t="shared" si="18"/>
        <v/>
      </c>
    </row>
    <row r="210" spans="10:21" ht="17.25" hidden="1" customHeight="1" outlineLevel="1" x14ac:dyDescent="0.15">
      <c r="J210" s="279"/>
      <c r="K210" s="280"/>
      <c r="L210" s="280"/>
      <c r="M210" s="281" t="s">
        <v>367</v>
      </c>
      <c r="N210" s="278" t="str">
        <f>IF(K195&amp;L195&lt;&gt;"",IF($D$34&lt;&gt;"",$D$34,""),"")</f>
        <v/>
      </c>
      <c r="O210" s="282"/>
      <c r="P210" s="271" t="str">
        <f t="shared" si="16"/>
        <v/>
      </c>
      <c r="Q210" s="283"/>
      <c r="R210" s="255">
        <f>IF(N210&lt;&gt;"",VLOOKUP(N210,$D$19:$E$34,2,FALSE),0)</f>
        <v>0</v>
      </c>
      <c r="S210" s="255">
        <f>IF(S195&gt;0,R210*S195,99999999)</f>
        <v>99999999</v>
      </c>
      <c r="T210" s="262" t="str">
        <f t="shared" si="19"/>
        <v/>
      </c>
      <c r="U210" s="262" t="str">
        <f t="shared" si="18"/>
        <v/>
      </c>
    </row>
    <row r="211" spans="10:21" ht="17.25" customHeight="1" collapsed="1" x14ac:dyDescent="0.15">
      <c r="J211" s="256">
        <v>13</v>
      </c>
      <c r="K211" s="257"/>
      <c r="L211" s="257"/>
      <c r="M211" s="258" t="s">
        <v>366</v>
      </c>
      <c r="N211" s="259" t="str">
        <f>IF(K211&amp;L211&lt;&gt;"",IF($D$19&lt;&gt;"",$D$19,""),"")</f>
        <v/>
      </c>
      <c r="O211" s="257"/>
      <c r="P211" s="260" t="str">
        <f t="shared" ref="P211:P274" si="23">IF(ISERROR(ROUND(Q211/O211,0)),"",ROUND(Q211/O211,0))</f>
        <v/>
      </c>
      <c r="Q211" s="261"/>
      <c r="R211" s="255">
        <f t="shared" ref="R211:R221" si="24">IF(N211&lt;&gt;"",VLOOKUP(N211,$D$19:$E$29,2,FALSE),0)</f>
        <v>0</v>
      </c>
      <c r="S211" s="255">
        <f>IF($E$19&gt;0,IF(MOD(O211,$E$19)=0,O211/$E$19,-1),-1)</f>
        <v>-1</v>
      </c>
      <c r="T211" s="262" t="str">
        <f>IF(N211&lt;&gt;"",IF(O211&lt;&gt;"",IF(S211&gt;0,"OK","数量が不足しています"),"数量が未入力です"),"")</f>
        <v/>
      </c>
      <c r="U211" s="262" t="str">
        <f t="shared" ref="U211:U274" si="25">IF(O211&lt;&gt;"",IF(Q211&lt;&gt;"","OK","未入力です"),"")</f>
        <v/>
      </c>
    </row>
    <row r="212" spans="10:21" ht="17.25" customHeight="1" x14ac:dyDescent="0.15">
      <c r="J212" s="266"/>
      <c r="K212" s="267"/>
      <c r="L212" s="267"/>
      <c r="M212" s="268" t="s">
        <v>367</v>
      </c>
      <c r="N212" s="269" t="str">
        <f>IF(K211&amp;L211&lt;&gt;"",IF($D$20&lt;&gt;"",$D$20,""),"")</f>
        <v/>
      </c>
      <c r="O212" s="270"/>
      <c r="P212" s="271" t="str">
        <f t="shared" si="23"/>
        <v/>
      </c>
      <c r="Q212" s="272"/>
      <c r="R212" s="255">
        <f t="shared" si="24"/>
        <v>0</v>
      </c>
      <c r="S212" s="255">
        <f>IF(S211&gt;0,R212*S211,99999999)</f>
        <v>99999999</v>
      </c>
      <c r="T212" s="262" t="str">
        <f t="shared" ref="T212:T274" si="26">IF(N212&lt;&gt;"",IF(O212&lt;&gt;"",IF(O212&gt;=S212,"OK","数量が不足しています"),"数量が未入力です"),"")</f>
        <v/>
      </c>
      <c r="U212" s="262" t="str">
        <f t="shared" si="25"/>
        <v/>
      </c>
    </row>
    <row r="213" spans="10:21" ht="17.25" customHeight="1" x14ac:dyDescent="0.15">
      <c r="J213" s="266"/>
      <c r="K213" s="267"/>
      <c r="L213" s="267"/>
      <c r="M213" s="268" t="s">
        <v>367</v>
      </c>
      <c r="N213" s="269" t="str">
        <f>IF(K211&amp;L211&lt;&gt;"",IF($D$21&lt;&gt;"",$D$21,""),"")</f>
        <v/>
      </c>
      <c r="O213" s="270"/>
      <c r="P213" s="271" t="str">
        <f t="shared" si="23"/>
        <v/>
      </c>
      <c r="Q213" s="272"/>
      <c r="R213" s="255">
        <f t="shared" si="24"/>
        <v>0</v>
      </c>
      <c r="S213" s="255">
        <f>IF(S211&gt;0,R213*S211,99999999)</f>
        <v>99999999</v>
      </c>
      <c r="T213" s="262" t="str">
        <f t="shared" si="26"/>
        <v/>
      </c>
      <c r="U213" s="262" t="str">
        <f t="shared" si="25"/>
        <v/>
      </c>
    </row>
    <row r="214" spans="10:21" ht="17.25" customHeight="1" x14ac:dyDescent="0.15">
      <c r="J214" s="266"/>
      <c r="K214" s="267"/>
      <c r="L214" s="267"/>
      <c r="M214" s="268" t="s">
        <v>367</v>
      </c>
      <c r="N214" s="269" t="str">
        <f>IF(K211&amp;L211&lt;&gt;"",IF($D$22&lt;&gt;"",$D$22,""),"")</f>
        <v/>
      </c>
      <c r="O214" s="270"/>
      <c r="P214" s="271" t="str">
        <f t="shared" si="23"/>
        <v/>
      </c>
      <c r="Q214" s="272"/>
      <c r="R214" s="255">
        <f t="shared" si="24"/>
        <v>0</v>
      </c>
      <c r="S214" s="255">
        <f>IF(S211&gt;0,R214*S211,99999999)</f>
        <v>99999999</v>
      </c>
      <c r="T214" s="262" t="str">
        <f t="shared" si="26"/>
        <v/>
      </c>
      <c r="U214" s="262" t="str">
        <f t="shared" si="25"/>
        <v/>
      </c>
    </row>
    <row r="215" spans="10:21" ht="17.25" customHeight="1" x14ac:dyDescent="0.15">
      <c r="J215" s="266"/>
      <c r="K215" s="267"/>
      <c r="L215" s="267"/>
      <c r="M215" s="268" t="s">
        <v>367</v>
      </c>
      <c r="N215" s="269" t="str">
        <f>IF(K211&amp;L211&lt;&gt;"",IF($D$23&lt;&gt;"",$D$23,""),"")</f>
        <v/>
      </c>
      <c r="O215" s="270"/>
      <c r="P215" s="271" t="str">
        <f t="shared" si="23"/>
        <v/>
      </c>
      <c r="Q215" s="272"/>
      <c r="R215" s="255">
        <f t="shared" si="24"/>
        <v>0</v>
      </c>
      <c r="S215" s="255">
        <f>IF(S211&gt;0,R215*S211,99999999)</f>
        <v>99999999</v>
      </c>
      <c r="T215" s="262" t="str">
        <f t="shared" si="26"/>
        <v/>
      </c>
      <c r="U215" s="262" t="str">
        <f t="shared" si="25"/>
        <v/>
      </c>
    </row>
    <row r="216" spans="10:21" ht="17.25" customHeight="1" x14ac:dyDescent="0.15">
      <c r="J216" s="266"/>
      <c r="K216" s="267"/>
      <c r="L216" s="267"/>
      <c r="M216" s="268" t="s">
        <v>367</v>
      </c>
      <c r="N216" s="269" t="str">
        <f>IF(K211&amp;L211&lt;&gt;"",IF($D$24&lt;&gt;"",$D$24,""),"")</f>
        <v/>
      </c>
      <c r="O216" s="270"/>
      <c r="P216" s="271" t="str">
        <f t="shared" si="23"/>
        <v/>
      </c>
      <c r="Q216" s="272"/>
      <c r="R216" s="255">
        <f t="shared" si="24"/>
        <v>0</v>
      </c>
      <c r="S216" s="255">
        <f>IF(S211&gt;0,R216*S211,99999999)</f>
        <v>99999999</v>
      </c>
      <c r="T216" s="262" t="str">
        <f t="shared" si="26"/>
        <v/>
      </c>
      <c r="U216" s="262" t="str">
        <f t="shared" si="25"/>
        <v/>
      </c>
    </row>
    <row r="217" spans="10:21" ht="17.25" customHeight="1" x14ac:dyDescent="0.15">
      <c r="J217" s="266"/>
      <c r="K217" s="267"/>
      <c r="L217" s="267"/>
      <c r="M217" s="268" t="s">
        <v>367</v>
      </c>
      <c r="N217" s="269" t="str">
        <f>IF(K211&amp;L211&lt;&gt;"",IF($D$25&lt;&gt;"",$D$25,""),"")</f>
        <v/>
      </c>
      <c r="O217" s="270"/>
      <c r="P217" s="271" t="str">
        <f t="shared" si="23"/>
        <v/>
      </c>
      <c r="Q217" s="272"/>
      <c r="R217" s="255">
        <f t="shared" si="24"/>
        <v>0</v>
      </c>
      <c r="S217" s="255">
        <f>IF(S211&gt;0,R217*S211,99999999)</f>
        <v>99999999</v>
      </c>
      <c r="T217" s="262" t="str">
        <f t="shared" si="26"/>
        <v/>
      </c>
      <c r="U217" s="262" t="str">
        <f t="shared" si="25"/>
        <v/>
      </c>
    </row>
    <row r="218" spans="10:21" ht="17.25" customHeight="1" x14ac:dyDescent="0.15">
      <c r="J218" s="266"/>
      <c r="K218" s="267"/>
      <c r="L218" s="267"/>
      <c r="M218" s="268" t="s">
        <v>367</v>
      </c>
      <c r="N218" s="269" t="str">
        <f>IF(K211&amp;L211&lt;&gt;"",IF($D$26&lt;&gt;"",$D$26,""),"")</f>
        <v/>
      </c>
      <c r="O218" s="270"/>
      <c r="P218" s="271" t="str">
        <f t="shared" si="23"/>
        <v/>
      </c>
      <c r="Q218" s="272"/>
      <c r="R218" s="255">
        <f t="shared" si="24"/>
        <v>0</v>
      </c>
      <c r="S218" s="255">
        <f>IF(S211&gt;0,R218*S211,99999999)</f>
        <v>99999999</v>
      </c>
      <c r="T218" s="262" t="str">
        <f t="shared" si="26"/>
        <v/>
      </c>
      <c r="U218" s="262" t="str">
        <f t="shared" si="25"/>
        <v/>
      </c>
    </row>
    <row r="219" spans="10:21" ht="17.25" customHeight="1" x14ac:dyDescent="0.15">
      <c r="J219" s="266"/>
      <c r="K219" s="267"/>
      <c r="L219" s="267"/>
      <c r="M219" s="268" t="s">
        <v>367</v>
      </c>
      <c r="N219" s="269" t="str">
        <f>IF(K211&amp;L211&lt;&gt;"",IF($D$27&lt;&gt;"",$D$27,""),"")</f>
        <v/>
      </c>
      <c r="O219" s="270"/>
      <c r="P219" s="271" t="str">
        <f t="shared" si="23"/>
        <v/>
      </c>
      <c r="Q219" s="272"/>
      <c r="R219" s="255">
        <f t="shared" si="24"/>
        <v>0</v>
      </c>
      <c r="S219" s="255">
        <f>IF(S211&gt;0,R219*S211,99999999)</f>
        <v>99999999</v>
      </c>
      <c r="T219" s="262" t="str">
        <f t="shared" si="26"/>
        <v/>
      </c>
      <c r="U219" s="262" t="str">
        <f t="shared" si="25"/>
        <v/>
      </c>
    </row>
    <row r="220" spans="10:21" ht="17.25" customHeight="1" x14ac:dyDescent="0.15">
      <c r="J220" s="266"/>
      <c r="K220" s="267"/>
      <c r="L220" s="267"/>
      <c r="M220" s="268" t="s">
        <v>367</v>
      </c>
      <c r="N220" s="269" t="str">
        <f>IF(K211&amp;L211&lt;&gt;"",IF($D$28&lt;&gt;"",$D$28,""),"")</f>
        <v/>
      </c>
      <c r="O220" s="270"/>
      <c r="P220" s="271" t="str">
        <f t="shared" si="23"/>
        <v/>
      </c>
      <c r="Q220" s="272"/>
      <c r="R220" s="255">
        <f t="shared" si="24"/>
        <v>0</v>
      </c>
      <c r="S220" s="255">
        <f>IF(S211&gt;0,R220*S211,99999999)</f>
        <v>99999999</v>
      </c>
      <c r="T220" s="262" t="str">
        <f t="shared" si="26"/>
        <v/>
      </c>
      <c r="U220" s="262" t="str">
        <f t="shared" si="25"/>
        <v/>
      </c>
    </row>
    <row r="221" spans="10:21" ht="17.25" customHeight="1" x14ac:dyDescent="0.15">
      <c r="J221" s="266"/>
      <c r="K221" s="267"/>
      <c r="L221" s="267"/>
      <c r="M221" s="268" t="s">
        <v>367</v>
      </c>
      <c r="N221" s="269" t="str">
        <f>IF(K211&amp;L211&lt;&gt;"",IF($D$29&lt;&gt;"",$D$29,""),"")</f>
        <v/>
      </c>
      <c r="O221" s="270"/>
      <c r="P221" s="271" t="str">
        <f t="shared" si="23"/>
        <v/>
      </c>
      <c r="Q221" s="272"/>
      <c r="R221" s="255">
        <f t="shared" si="24"/>
        <v>0</v>
      </c>
      <c r="S221" s="255">
        <f>IF(S211&gt;0,R221*S211,99999999)</f>
        <v>99999999</v>
      </c>
      <c r="T221" s="262" t="str">
        <f t="shared" si="26"/>
        <v/>
      </c>
      <c r="U221" s="262" t="str">
        <f t="shared" si="25"/>
        <v/>
      </c>
    </row>
    <row r="222" spans="10:21" ht="17.25" hidden="1" customHeight="1" outlineLevel="1" x14ac:dyDescent="0.15">
      <c r="J222" s="266"/>
      <c r="K222" s="267"/>
      <c r="L222" s="267"/>
      <c r="M222" s="268" t="s">
        <v>367</v>
      </c>
      <c r="N222" s="269" t="str">
        <f>IF(K211&amp;L211&lt;&gt;"",IF($D$30&lt;&gt;"",$D$30,""),"")</f>
        <v/>
      </c>
      <c r="O222" s="270"/>
      <c r="P222" s="271" t="str">
        <f t="shared" si="23"/>
        <v/>
      </c>
      <c r="Q222" s="272"/>
      <c r="R222" s="255">
        <f>IF(N222&lt;&gt;"",VLOOKUP(N222,$D$19:$E$34,2,FALSE),0)</f>
        <v>0</v>
      </c>
      <c r="S222" s="255">
        <f>IF(S211&gt;0,R222*S211,99999999)</f>
        <v>99999999</v>
      </c>
      <c r="T222" s="262" t="str">
        <f t="shared" si="26"/>
        <v/>
      </c>
      <c r="U222" s="262" t="str">
        <f t="shared" si="25"/>
        <v/>
      </c>
    </row>
    <row r="223" spans="10:21" ht="17.25" hidden="1" customHeight="1" outlineLevel="1" x14ac:dyDescent="0.15">
      <c r="J223" s="266"/>
      <c r="K223" s="267"/>
      <c r="L223" s="267"/>
      <c r="M223" s="268" t="s">
        <v>367</v>
      </c>
      <c r="N223" s="269" t="str">
        <f>IF(K211&amp;L211&lt;&gt;"",IF($D$31&lt;&gt;"",$D$31,""),"")</f>
        <v/>
      </c>
      <c r="O223" s="270"/>
      <c r="P223" s="271" t="str">
        <f t="shared" si="23"/>
        <v/>
      </c>
      <c r="Q223" s="272"/>
      <c r="R223" s="255">
        <f>IF(N223&lt;&gt;"",VLOOKUP(N223,$D$19:$E$34,2,FALSE),0)</f>
        <v>0</v>
      </c>
      <c r="S223" s="255">
        <f>IF(S211&gt;0,R223*S211,99999999)</f>
        <v>99999999</v>
      </c>
      <c r="T223" s="262" t="str">
        <f t="shared" si="26"/>
        <v/>
      </c>
      <c r="U223" s="262" t="str">
        <f t="shared" si="25"/>
        <v/>
      </c>
    </row>
    <row r="224" spans="10:21" ht="17.25" hidden="1" customHeight="1" outlineLevel="1" x14ac:dyDescent="0.15">
      <c r="J224" s="266"/>
      <c r="K224" s="267"/>
      <c r="L224" s="267"/>
      <c r="M224" s="268" t="s">
        <v>367</v>
      </c>
      <c r="N224" s="269" t="str">
        <f>IF(K211&amp;L211&lt;&gt;"",IF($D$32&lt;&gt;"",$D$32,""),"")</f>
        <v/>
      </c>
      <c r="O224" s="270"/>
      <c r="P224" s="271" t="str">
        <f t="shared" si="23"/>
        <v/>
      </c>
      <c r="Q224" s="272"/>
      <c r="R224" s="255">
        <f>IF(N224&lt;&gt;"",VLOOKUP(N224,$D$19:$E$34,2,FALSE),0)</f>
        <v>0</v>
      </c>
      <c r="S224" s="255">
        <f>IF(S211&gt;0,R224*S211,99999999)</f>
        <v>99999999</v>
      </c>
      <c r="T224" s="262" t="str">
        <f t="shared" si="26"/>
        <v/>
      </c>
      <c r="U224" s="262" t="str">
        <f t="shared" si="25"/>
        <v/>
      </c>
    </row>
    <row r="225" spans="10:21" ht="17.25" hidden="1" customHeight="1" outlineLevel="1" x14ac:dyDescent="0.15">
      <c r="J225" s="266"/>
      <c r="K225" s="267"/>
      <c r="L225" s="267"/>
      <c r="M225" s="268" t="s">
        <v>367</v>
      </c>
      <c r="N225" s="269" t="str">
        <f>IF(K211&amp;L211&lt;&gt;"",IF($D$33&lt;&gt;"",$D$33,""),"")</f>
        <v/>
      </c>
      <c r="O225" s="270"/>
      <c r="P225" s="271" t="str">
        <f t="shared" si="23"/>
        <v/>
      </c>
      <c r="Q225" s="272"/>
      <c r="R225" s="255">
        <f>IF(N225&lt;&gt;"",VLOOKUP(N225,$D$19:$E$34,2,FALSE),0)</f>
        <v>0</v>
      </c>
      <c r="S225" s="255">
        <f>IF(S211&gt;0,R225*S211,99999999)</f>
        <v>99999999</v>
      </c>
      <c r="T225" s="262" t="str">
        <f t="shared" si="26"/>
        <v/>
      </c>
      <c r="U225" s="262" t="str">
        <f t="shared" si="25"/>
        <v/>
      </c>
    </row>
    <row r="226" spans="10:21" ht="17.25" hidden="1" customHeight="1" outlineLevel="1" x14ac:dyDescent="0.15">
      <c r="J226" s="279"/>
      <c r="K226" s="280"/>
      <c r="L226" s="280"/>
      <c r="M226" s="281" t="s">
        <v>367</v>
      </c>
      <c r="N226" s="278" t="str">
        <f>IF(K211&amp;L211&lt;&gt;"",IF($D$34&lt;&gt;"",$D$34,""),"")</f>
        <v/>
      </c>
      <c r="O226" s="282"/>
      <c r="P226" s="271" t="str">
        <f t="shared" si="23"/>
        <v/>
      </c>
      <c r="Q226" s="283"/>
      <c r="R226" s="255">
        <f>IF(N226&lt;&gt;"",VLOOKUP(N226,$D$19:$E$34,2,FALSE),0)</f>
        <v>0</v>
      </c>
      <c r="S226" s="255">
        <f>IF(S211&gt;0,R226*S211,99999999)</f>
        <v>99999999</v>
      </c>
      <c r="T226" s="262" t="str">
        <f t="shared" si="26"/>
        <v/>
      </c>
      <c r="U226" s="262" t="str">
        <f t="shared" si="25"/>
        <v/>
      </c>
    </row>
    <row r="227" spans="10:21" ht="17.25" customHeight="1" collapsed="1" x14ac:dyDescent="0.15">
      <c r="J227" s="256">
        <v>14</v>
      </c>
      <c r="K227" s="257"/>
      <c r="L227" s="257"/>
      <c r="M227" s="258" t="s">
        <v>366</v>
      </c>
      <c r="N227" s="259" t="str">
        <f>IF(K227&amp;L227&lt;&gt;"",IF($D$19&lt;&gt;"",$D$19,""),"")</f>
        <v/>
      </c>
      <c r="O227" s="257"/>
      <c r="P227" s="260" t="str">
        <f t="shared" si="23"/>
        <v/>
      </c>
      <c r="Q227" s="261"/>
      <c r="R227" s="255">
        <f t="shared" ref="R227:R237" si="27">IF(N227&lt;&gt;"",VLOOKUP(N227,$D$19:$E$29,2,FALSE),0)</f>
        <v>0</v>
      </c>
      <c r="S227" s="255">
        <f>IF($E$19&gt;0,IF(MOD(O227,$E$19)=0,O227/$E$19,-1),-1)</f>
        <v>-1</v>
      </c>
      <c r="T227" s="262" t="str">
        <f>IF(N227&lt;&gt;"",IF(O227&lt;&gt;"",IF(S227&gt;0,"OK","数量が不足しています"),"数量が未入力です"),"")</f>
        <v/>
      </c>
      <c r="U227" s="262" t="str">
        <f t="shared" si="25"/>
        <v/>
      </c>
    </row>
    <row r="228" spans="10:21" ht="17.25" customHeight="1" x14ac:dyDescent="0.15">
      <c r="J228" s="266"/>
      <c r="K228" s="267"/>
      <c r="L228" s="267"/>
      <c r="M228" s="268" t="s">
        <v>367</v>
      </c>
      <c r="N228" s="269" t="str">
        <f>IF(K227&amp;L227&lt;&gt;"",IF($D$20&lt;&gt;"",$D$20,""),"")</f>
        <v/>
      </c>
      <c r="O228" s="270"/>
      <c r="P228" s="271" t="str">
        <f t="shared" si="23"/>
        <v/>
      </c>
      <c r="Q228" s="272"/>
      <c r="R228" s="255">
        <f t="shared" si="27"/>
        <v>0</v>
      </c>
      <c r="S228" s="255">
        <f>IF(S227&gt;0,R228*S227,99999999)</f>
        <v>99999999</v>
      </c>
      <c r="T228" s="262" t="str">
        <f t="shared" si="26"/>
        <v/>
      </c>
      <c r="U228" s="262" t="str">
        <f t="shared" si="25"/>
        <v/>
      </c>
    </row>
    <row r="229" spans="10:21" ht="17.25" customHeight="1" x14ac:dyDescent="0.15">
      <c r="J229" s="266"/>
      <c r="K229" s="267"/>
      <c r="L229" s="267"/>
      <c r="M229" s="268" t="s">
        <v>367</v>
      </c>
      <c r="N229" s="269" t="str">
        <f>IF(K227&amp;L227&lt;&gt;"",IF($D$21&lt;&gt;"",$D$21,""),"")</f>
        <v/>
      </c>
      <c r="O229" s="270"/>
      <c r="P229" s="271" t="str">
        <f t="shared" si="23"/>
        <v/>
      </c>
      <c r="Q229" s="272"/>
      <c r="R229" s="255">
        <f t="shared" si="27"/>
        <v>0</v>
      </c>
      <c r="S229" s="255">
        <f>IF(S227&gt;0,R229*S227,99999999)</f>
        <v>99999999</v>
      </c>
      <c r="T229" s="262" t="str">
        <f t="shared" si="26"/>
        <v/>
      </c>
      <c r="U229" s="262" t="str">
        <f t="shared" si="25"/>
        <v/>
      </c>
    </row>
    <row r="230" spans="10:21" ht="17.25" customHeight="1" x14ac:dyDescent="0.15">
      <c r="J230" s="266"/>
      <c r="K230" s="267"/>
      <c r="L230" s="267"/>
      <c r="M230" s="268" t="s">
        <v>367</v>
      </c>
      <c r="N230" s="269" t="str">
        <f>IF(K227&amp;L227&lt;&gt;"",IF($D$22&lt;&gt;"",$D$22,""),"")</f>
        <v/>
      </c>
      <c r="O230" s="270"/>
      <c r="P230" s="271" t="str">
        <f t="shared" si="23"/>
        <v/>
      </c>
      <c r="Q230" s="272"/>
      <c r="R230" s="255">
        <f t="shared" si="27"/>
        <v>0</v>
      </c>
      <c r="S230" s="255">
        <f>IF(S227&gt;0,R230*S227,99999999)</f>
        <v>99999999</v>
      </c>
      <c r="T230" s="262" t="str">
        <f t="shared" si="26"/>
        <v/>
      </c>
      <c r="U230" s="262" t="str">
        <f t="shared" si="25"/>
        <v/>
      </c>
    </row>
    <row r="231" spans="10:21" ht="17.25" customHeight="1" x14ac:dyDescent="0.15">
      <c r="J231" s="266"/>
      <c r="K231" s="267"/>
      <c r="L231" s="267"/>
      <c r="M231" s="268" t="s">
        <v>367</v>
      </c>
      <c r="N231" s="269" t="str">
        <f>IF(K227&amp;L227&lt;&gt;"",IF($D$23&lt;&gt;"",$D$23,""),"")</f>
        <v/>
      </c>
      <c r="O231" s="270"/>
      <c r="P231" s="271" t="str">
        <f t="shared" si="23"/>
        <v/>
      </c>
      <c r="Q231" s="272"/>
      <c r="R231" s="255">
        <f t="shared" si="27"/>
        <v>0</v>
      </c>
      <c r="S231" s="255">
        <f>IF(S227&gt;0,R231*S227,99999999)</f>
        <v>99999999</v>
      </c>
      <c r="T231" s="262" t="str">
        <f t="shared" si="26"/>
        <v/>
      </c>
      <c r="U231" s="262" t="str">
        <f t="shared" si="25"/>
        <v/>
      </c>
    </row>
    <row r="232" spans="10:21" ht="17.25" customHeight="1" x14ac:dyDescent="0.15">
      <c r="J232" s="266"/>
      <c r="K232" s="267"/>
      <c r="L232" s="267"/>
      <c r="M232" s="268" t="s">
        <v>367</v>
      </c>
      <c r="N232" s="269" t="str">
        <f>IF(K227&amp;L227&lt;&gt;"",IF($D$24&lt;&gt;"",$D$24,""),"")</f>
        <v/>
      </c>
      <c r="O232" s="270"/>
      <c r="P232" s="271" t="str">
        <f t="shared" si="23"/>
        <v/>
      </c>
      <c r="Q232" s="272"/>
      <c r="R232" s="255">
        <f t="shared" si="27"/>
        <v>0</v>
      </c>
      <c r="S232" s="255">
        <f>IF(S227&gt;0,R232*S227,99999999)</f>
        <v>99999999</v>
      </c>
      <c r="T232" s="262" t="str">
        <f t="shared" si="26"/>
        <v/>
      </c>
      <c r="U232" s="262" t="str">
        <f t="shared" si="25"/>
        <v/>
      </c>
    </row>
    <row r="233" spans="10:21" ht="17.25" customHeight="1" x14ac:dyDescent="0.15">
      <c r="J233" s="266"/>
      <c r="K233" s="267"/>
      <c r="L233" s="267"/>
      <c r="M233" s="268" t="s">
        <v>367</v>
      </c>
      <c r="N233" s="269" t="str">
        <f>IF(K227&amp;L227&lt;&gt;"",IF($D$25&lt;&gt;"",$D$25,""),"")</f>
        <v/>
      </c>
      <c r="O233" s="270"/>
      <c r="P233" s="271" t="str">
        <f t="shared" si="23"/>
        <v/>
      </c>
      <c r="Q233" s="272"/>
      <c r="R233" s="255">
        <f t="shared" si="27"/>
        <v>0</v>
      </c>
      <c r="S233" s="255">
        <f>IF(S227&gt;0,R233*S227,99999999)</f>
        <v>99999999</v>
      </c>
      <c r="T233" s="262" t="str">
        <f t="shared" si="26"/>
        <v/>
      </c>
      <c r="U233" s="262" t="str">
        <f t="shared" si="25"/>
        <v/>
      </c>
    </row>
    <row r="234" spans="10:21" ht="17.25" customHeight="1" x14ac:dyDescent="0.15">
      <c r="J234" s="266"/>
      <c r="K234" s="267"/>
      <c r="L234" s="267"/>
      <c r="M234" s="268" t="s">
        <v>367</v>
      </c>
      <c r="N234" s="269" t="str">
        <f>IF(K227&amp;L227&lt;&gt;"",IF($D$26&lt;&gt;"",$D$26,""),"")</f>
        <v/>
      </c>
      <c r="O234" s="270"/>
      <c r="P234" s="271" t="str">
        <f t="shared" si="23"/>
        <v/>
      </c>
      <c r="Q234" s="272"/>
      <c r="R234" s="255">
        <f t="shared" si="27"/>
        <v>0</v>
      </c>
      <c r="S234" s="255">
        <f>IF(S227&gt;0,R234*S227,99999999)</f>
        <v>99999999</v>
      </c>
      <c r="T234" s="262" t="str">
        <f t="shared" si="26"/>
        <v/>
      </c>
      <c r="U234" s="262" t="str">
        <f t="shared" si="25"/>
        <v/>
      </c>
    </row>
    <row r="235" spans="10:21" ht="17.25" customHeight="1" x14ac:dyDescent="0.15">
      <c r="J235" s="266"/>
      <c r="K235" s="267"/>
      <c r="L235" s="267"/>
      <c r="M235" s="268" t="s">
        <v>367</v>
      </c>
      <c r="N235" s="269" t="str">
        <f>IF(K227&amp;L227&lt;&gt;"",IF($D$27&lt;&gt;"",$D$27,""),"")</f>
        <v/>
      </c>
      <c r="O235" s="270"/>
      <c r="P235" s="271" t="str">
        <f t="shared" si="23"/>
        <v/>
      </c>
      <c r="Q235" s="272"/>
      <c r="R235" s="255">
        <f t="shared" si="27"/>
        <v>0</v>
      </c>
      <c r="S235" s="255">
        <f>IF(S227&gt;0,R235*S227,99999999)</f>
        <v>99999999</v>
      </c>
      <c r="T235" s="262" t="str">
        <f t="shared" si="26"/>
        <v/>
      </c>
      <c r="U235" s="262" t="str">
        <f t="shared" si="25"/>
        <v/>
      </c>
    </row>
    <row r="236" spans="10:21" ht="17.25" customHeight="1" x14ac:dyDescent="0.15">
      <c r="J236" s="266"/>
      <c r="K236" s="267"/>
      <c r="L236" s="267"/>
      <c r="M236" s="268" t="s">
        <v>367</v>
      </c>
      <c r="N236" s="269" t="str">
        <f>IF(K227&amp;L227&lt;&gt;"",IF($D$28&lt;&gt;"",$D$28,""),"")</f>
        <v/>
      </c>
      <c r="O236" s="270"/>
      <c r="P236" s="271" t="str">
        <f t="shared" si="23"/>
        <v/>
      </c>
      <c r="Q236" s="272"/>
      <c r="R236" s="255">
        <f t="shared" si="27"/>
        <v>0</v>
      </c>
      <c r="S236" s="255">
        <f>IF(S227&gt;0,R236*S227,99999999)</f>
        <v>99999999</v>
      </c>
      <c r="T236" s="262" t="str">
        <f t="shared" si="26"/>
        <v/>
      </c>
      <c r="U236" s="262" t="str">
        <f t="shared" si="25"/>
        <v/>
      </c>
    </row>
    <row r="237" spans="10:21" ht="17.25" customHeight="1" x14ac:dyDescent="0.15">
      <c r="J237" s="266"/>
      <c r="K237" s="267"/>
      <c r="L237" s="267"/>
      <c r="M237" s="268" t="s">
        <v>367</v>
      </c>
      <c r="N237" s="269" t="str">
        <f>IF(K227&amp;L227&lt;&gt;"",IF($D$29&lt;&gt;"",$D$29,""),"")</f>
        <v/>
      </c>
      <c r="O237" s="270"/>
      <c r="P237" s="271" t="str">
        <f t="shared" si="23"/>
        <v/>
      </c>
      <c r="Q237" s="272"/>
      <c r="R237" s="255">
        <f t="shared" si="27"/>
        <v>0</v>
      </c>
      <c r="S237" s="255">
        <f>IF(S227&gt;0,R237*S227,99999999)</f>
        <v>99999999</v>
      </c>
      <c r="T237" s="262" t="str">
        <f t="shared" si="26"/>
        <v/>
      </c>
      <c r="U237" s="262" t="str">
        <f t="shared" si="25"/>
        <v/>
      </c>
    </row>
    <row r="238" spans="10:21" ht="17.25" hidden="1" customHeight="1" outlineLevel="1" x14ac:dyDescent="0.15">
      <c r="J238" s="266"/>
      <c r="K238" s="267"/>
      <c r="L238" s="267"/>
      <c r="M238" s="268" t="s">
        <v>367</v>
      </c>
      <c r="N238" s="269" t="str">
        <f>IF(K227&amp;L227&lt;&gt;"",IF($D$30&lt;&gt;"",$D$30,""),"")</f>
        <v/>
      </c>
      <c r="O238" s="270"/>
      <c r="P238" s="271" t="str">
        <f t="shared" si="23"/>
        <v/>
      </c>
      <c r="Q238" s="272"/>
      <c r="R238" s="255">
        <f>IF(N238&lt;&gt;"",VLOOKUP(N238,$D$19:$E$34,2,FALSE),0)</f>
        <v>0</v>
      </c>
      <c r="S238" s="255">
        <f>IF(S227&gt;0,R238*S227,99999999)</f>
        <v>99999999</v>
      </c>
      <c r="T238" s="262" t="str">
        <f t="shared" si="26"/>
        <v/>
      </c>
      <c r="U238" s="262" t="str">
        <f t="shared" si="25"/>
        <v/>
      </c>
    </row>
    <row r="239" spans="10:21" ht="17.25" hidden="1" customHeight="1" outlineLevel="1" x14ac:dyDescent="0.15">
      <c r="J239" s="266"/>
      <c r="K239" s="267"/>
      <c r="L239" s="267"/>
      <c r="M239" s="268" t="s">
        <v>367</v>
      </c>
      <c r="N239" s="269" t="str">
        <f>IF(K227&amp;L227&lt;&gt;"",IF($D$31&lt;&gt;"",$D$31,""),"")</f>
        <v/>
      </c>
      <c r="O239" s="270"/>
      <c r="P239" s="271" t="str">
        <f t="shared" si="23"/>
        <v/>
      </c>
      <c r="Q239" s="272"/>
      <c r="R239" s="255">
        <f>IF(N239&lt;&gt;"",VLOOKUP(N239,$D$19:$E$34,2,FALSE),0)</f>
        <v>0</v>
      </c>
      <c r="S239" s="255">
        <f>IF(S227&gt;0,R239*S227,99999999)</f>
        <v>99999999</v>
      </c>
      <c r="T239" s="262" t="str">
        <f t="shared" si="26"/>
        <v/>
      </c>
      <c r="U239" s="262" t="str">
        <f t="shared" si="25"/>
        <v/>
      </c>
    </row>
    <row r="240" spans="10:21" ht="17.25" hidden="1" customHeight="1" outlineLevel="1" x14ac:dyDescent="0.15">
      <c r="J240" s="266"/>
      <c r="K240" s="267"/>
      <c r="L240" s="267"/>
      <c r="M240" s="268" t="s">
        <v>367</v>
      </c>
      <c r="N240" s="269" t="str">
        <f>IF(K227&amp;L227&lt;&gt;"",IF($D$32&lt;&gt;"",$D$32,""),"")</f>
        <v/>
      </c>
      <c r="O240" s="270"/>
      <c r="P240" s="271" t="str">
        <f t="shared" si="23"/>
        <v/>
      </c>
      <c r="Q240" s="272"/>
      <c r="R240" s="255">
        <f>IF(N240&lt;&gt;"",VLOOKUP(N240,$D$19:$E$34,2,FALSE),0)</f>
        <v>0</v>
      </c>
      <c r="S240" s="255">
        <f>IF(S227&gt;0,R240*S227,99999999)</f>
        <v>99999999</v>
      </c>
      <c r="T240" s="262" t="str">
        <f t="shared" si="26"/>
        <v/>
      </c>
      <c r="U240" s="262" t="str">
        <f t="shared" si="25"/>
        <v/>
      </c>
    </row>
    <row r="241" spans="10:21" ht="17.25" hidden="1" customHeight="1" outlineLevel="1" x14ac:dyDescent="0.15">
      <c r="J241" s="266"/>
      <c r="K241" s="267"/>
      <c r="L241" s="267"/>
      <c r="M241" s="268" t="s">
        <v>367</v>
      </c>
      <c r="N241" s="269" t="str">
        <f>IF(K227&amp;L227&lt;&gt;"",IF($D$33&lt;&gt;"",$D$33,""),"")</f>
        <v/>
      </c>
      <c r="O241" s="270"/>
      <c r="P241" s="271" t="str">
        <f t="shared" si="23"/>
        <v/>
      </c>
      <c r="Q241" s="272"/>
      <c r="R241" s="255">
        <f>IF(N241&lt;&gt;"",VLOOKUP(N241,$D$19:$E$34,2,FALSE),0)</f>
        <v>0</v>
      </c>
      <c r="S241" s="255">
        <f>IF(S227&gt;0,R241*S227,99999999)</f>
        <v>99999999</v>
      </c>
      <c r="T241" s="262" t="str">
        <f t="shared" si="26"/>
        <v/>
      </c>
      <c r="U241" s="262" t="str">
        <f t="shared" si="25"/>
        <v/>
      </c>
    </row>
    <row r="242" spans="10:21" ht="17.25" hidden="1" customHeight="1" outlineLevel="1" x14ac:dyDescent="0.15">
      <c r="J242" s="279"/>
      <c r="K242" s="280"/>
      <c r="L242" s="280"/>
      <c r="M242" s="281" t="s">
        <v>367</v>
      </c>
      <c r="N242" s="278" t="str">
        <f>IF(K227&amp;L227&lt;&gt;"",IF($D$34&lt;&gt;"",$D$34,""),"")</f>
        <v/>
      </c>
      <c r="O242" s="282"/>
      <c r="P242" s="271" t="str">
        <f t="shared" si="23"/>
        <v/>
      </c>
      <c r="Q242" s="283"/>
      <c r="R242" s="255">
        <f>IF(N242&lt;&gt;"",VLOOKUP(N242,$D$19:$E$34,2,FALSE),0)</f>
        <v>0</v>
      </c>
      <c r="S242" s="255">
        <f>IF(S227&gt;0,R242*S227,99999999)</f>
        <v>99999999</v>
      </c>
      <c r="T242" s="262" t="str">
        <f t="shared" si="26"/>
        <v/>
      </c>
      <c r="U242" s="262" t="str">
        <f t="shared" si="25"/>
        <v/>
      </c>
    </row>
    <row r="243" spans="10:21" ht="17.25" customHeight="1" collapsed="1" x14ac:dyDescent="0.15">
      <c r="J243" s="256">
        <v>15</v>
      </c>
      <c r="K243" s="257"/>
      <c r="L243" s="257"/>
      <c r="M243" s="258" t="s">
        <v>366</v>
      </c>
      <c r="N243" s="259" t="str">
        <f>IF(K243&amp;L243&lt;&gt;"",IF($D$19&lt;&gt;"",$D$19,""),"")</f>
        <v/>
      </c>
      <c r="O243" s="257"/>
      <c r="P243" s="260" t="str">
        <f t="shared" si="23"/>
        <v/>
      </c>
      <c r="Q243" s="261"/>
      <c r="R243" s="255">
        <f t="shared" ref="R243:R253" si="28">IF(N243&lt;&gt;"",VLOOKUP(N243,$D$19:$E$29,2,FALSE),0)</f>
        <v>0</v>
      </c>
      <c r="S243" s="255">
        <f>IF($E$19&gt;0,IF(MOD(O243,$E$19)=0,O243/$E$19,-1),-1)</f>
        <v>-1</v>
      </c>
      <c r="T243" s="262" t="str">
        <f>IF(N243&lt;&gt;"",IF(O243&lt;&gt;"",IF(S243&gt;0,"OK","数量が不足しています"),"数量が未入力です"),"")</f>
        <v/>
      </c>
      <c r="U243" s="262" t="str">
        <f t="shared" si="25"/>
        <v/>
      </c>
    </row>
    <row r="244" spans="10:21" ht="17.25" customHeight="1" x14ac:dyDescent="0.15">
      <c r="J244" s="266"/>
      <c r="K244" s="267"/>
      <c r="L244" s="267"/>
      <c r="M244" s="268" t="s">
        <v>367</v>
      </c>
      <c r="N244" s="269" t="str">
        <f>IF(K243&amp;L243&lt;&gt;"",IF($D$20&lt;&gt;"",$D$20,""),"")</f>
        <v/>
      </c>
      <c r="O244" s="270"/>
      <c r="P244" s="271" t="str">
        <f t="shared" si="23"/>
        <v/>
      </c>
      <c r="Q244" s="272"/>
      <c r="R244" s="255">
        <f t="shared" si="28"/>
        <v>0</v>
      </c>
      <c r="S244" s="255">
        <f>IF(S243&gt;0,R244*S243,99999999)</f>
        <v>99999999</v>
      </c>
      <c r="T244" s="262" t="str">
        <f t="shared" si="26"/>
        <v/>
      </c>
      <c r="U244" s="262" t="str">
        <f t="shared" si="25"/>
        <v/>
      </c>
    </row>
    <row r="245" spans="10:21" ht="17.25" customHeight="1" x14ac:dyDescent="0.15">
      <c r="J245" s="266"/>
      <c r="K245" s="267"/>
      <c r="L245" s="267"/>
      <c r="M245" s="268" t="s">
        <v>367</v>
      </c>
      <c r="N245" s="269" t="str">
        <f>IF(K243&amp;L243&lt;&gt;"",IF($D$21&lt;&gt;"",$D$21,""),"")</f>
        <v/>
      </c>
      <c r="O245" s="270"/>
      <c r="P245" s="271" t="str">
        <f t="shared" si="23"/>
        <v/>
      </c>
      <c r="Q245" s="272"/>
      <c r="R245" s="255">
        <f t="shared" si="28"/>
        <v>0</v>
      </c>
      <c r="S245" s="255">
        <f>IF(S243&gt;0,R245*S243,99999999)</f>
        <v>99999999</v>
      </c>
      <c r="T245" s="262" t="str">
        <f t="shared" si="26"/>
        <v/>
      </c>
      <c r="U245" s="262" t="str">
        <f t="shared" si="25"/>
        <v/>
      </c>
    </row>
    <row r="246" spans="10:21" ht="17.25" customHeight="1" x14ac:dyDescent="0.15">
      <c r="J246" s="266"/>
      <c r="K246" s="267"/>
      <c r="L246" s="267"/>
      <c r="M246" s="268" t="s">
        <v>367</v>
      </c>
      <c r="N246" s="269" t="str">
        <f>IF(K243&amp;L243&lt;&gt;"",IF($D$22&lt;&gt;"",$D$22,""),"")</f>
        <v/>
      </c>
      <c r="O246" s="270"/>
      <c r="P246" s="271" t="str">
        <f t="shared" si="23"/>
        <v/>
      </c>
      <c r="Q246" s="272"/>
      <c r="R246" s="255">
        <f t="shared" si="28"/>
        <v>0</v>
      </c>
      <c r="S246" s="255">
        <f>IF(S243&gt;0,R246*S243,99999999)</f>
        <v>99999999</v>
      </c>
      <c r="T246" s="262" t="str">
        <f t="shared" si="26"/>
        <v/>
      </c>
      <c r="U246" s="262" t="str">
        <f t="shared" si="25"/>
        <v/>
      </c>
    </row>
    <row r="247" spans="10:21" ht="17.25" customHeight="1" x14ac:dyDescent="0.15">
      <c r="J247" s="266"/>
      <c r="K247" s="267"/>
      <c r="L247" s="267"/>
      <c r="M247" s="268" t="s">
        <v>367</v>
      </c>
      <c r="N247" s="269" t="str">
        <f>IF(K243&amp;L243&lt;&gt;"",IF($D$23&lt;&gt;"",$D$23,""),"")</f>
        <v/>
      </c>
      <c r="O247" s="270"/>
      <c r="P247" s="271" t="str">
        <f t="shared" si="23"/>
        <v/>
      </c>
      <c r="Q247" s="272"/>
      <c r="R247" s="255">
        <f t="shared" si="28"/>
        <v>0</v>
      </c>
      <c r="S247" s="255">
        <f>IF(S243&gt;0,R247*S243,99999999)</f>
        <v>99999999</v>
      </c>
      <c r="T247" s="262" t="str">
        <f t="shared" si="26"/>
        <v/>
      </c>
      <c r="U247" s="262" t="str">
        <f t="shared" si="25"/>
        <v/>
      </c>
    </row>
    <row r="248" spans="10:21" ht="17.25" customHeight="1" x14ac:dyDescent="0.15">
      <c r="J248" s="266"/>
      <c r="K248" s="267"/>
      <c r="L248" s="267"/>
      <c r="M248" s="268" t="s">
        <v>367</v>
      </c>
      <c r="N248" s="269" t="str">
        <f>IF(K243&amp;L243&lt;&gt;"",IF($D$24&lt;&gt;"",$D$24,""),"")</f>
        <v/>
      </c>
      <c r="O248" s="270"/>
      <c r="P248" s="271" t="str">
        <f t="shared" si="23"/>
        <v/>
      </c>
      <c r="Q248" s="272"/>
      <c r="R248" s="255">
        <f t="shared" si="28"/>
        <v>0</v>
      </c>
      <c r="S248" s="255">
        <f>IF(S243&gt;0,R248*S243,99999999)</f>
        <v>99999999</v>
      </c>
      <c r="T248" s="262" t="str">
        <f t="shared" si="26"/>
        <v/>
      </c>
      <c r="U248" s="262" t="str">
        <f t="shared" si="25"/>
        <v/>
      </c>
    </row>
    <row r="249" spans="10:21" ht="17.25" customHeight="1" x14ac:dyDescent="0.15">
      <c r="J249" s="266"/>
      <c r="K249" s="267"/>
      <c r="L249" s="267"/>
      <c r="M249" s="268" t="s">
        <v>367</v>
      </c>
      <c r="N249" s="269" t="str">
        <f>IF(K243&amp;L243&lt;&gt;"",IF($D$25&lt;&gt;"",$D$25,""),"")</f>
        <v/>
      </c>
      <c r="O249" s="270"/>
      <c r="P249" s="271" t="str">
        <f t="shared" si="23"/>
        <v/>
      </c>
      <c r="Q249" s="272"/>
      <c r="R249" s="255">
        <f t="shared" si="28"/>
        <v>0</v>
      </c>
      <c r="S249" s="255">
        <f>IF(S243&gt;0,R249*S243,99999999)</f>
        <v>99999999</v>
      </c>
      <c r="T249" s="262" t="str">
        <f t="shared" si="26"/>
        <v/>
      </c>
      <c r="U249" s="262" t="str">
        <f t="shared" si="25"/>
        <v/>
      </c>
    </row>
    <row r="250" spans="10:21" ht="17.25" customHeight="1" x14ac:dyDescent="0.15">
      <c r="J250" s="266"/>
      <c r="K250" s="267"/>
      <c r="L250" s="267"/>
      <c r="M250" s="268" t="s">
        <v>367</v>
      </c>
      <c r="N250" s="269" t="str">
        <f>IF(K243&amp;L243&lt;&gt;"",IF($D$26&lt;&gt;"",$D$26,""),"")</f>
        <v/>
      </c>
      <c r="O250" s="270"/>
      <c r="P250" s="271" t="str">
        <f t="shared" si="23"/>
        <v/>
      </c>
      <c r="Q250" s="272"/>
      <c r="R250" s="255">
        <f t="shared" si="28"/>
        <v>0</v>
      </c>
      <c r="S250" s="255">
        <f>IF(S243&gt;0,R250*S243,99999999)</f>
        <v>99999999</v>
      </c>
      <c r="T250" s="262" t="str">
        <f t="shared" si="26"/>
        <v/>
      </c>
      <c r="U250" s="262" t="str">
        <f t="shared" si="25"/>
        <v/>
      </c>
    </row>
    <row r="251" spans="10:21" ht="17.25" customHeight="1" x14ac:dyDescent="0.15">
      <c r="J251" s="266"/>
      <c r="K251" s="267"/>
      <c r="L251" s="267"/>
      <c r="M251" s="268" t="s">
        <v>367</v>
      </c>
      <c r="N251" s="269" t="str">
        <f>IF(K243&amp;L243&lt;&gt;"",IF($D$27&lt;&gt;"",$D$27,""),"")</f>
        <v/>
      </c>
      <c r="O251" s="270"/>
      <c r="P251" s="271" t="str">
        <f t="shared" si="23"/>
        <v/>
      </c>
      <c r="Q251" s="272"/>
      <c r="R251" s="255">
        <f t="shared" si="28"/>
        <v>0</v>
      </c>
      <c r="S251" s="255">
        <f>IF(S243&gt;0,R251*S243,99999999)</f>
        <v>99999999</v>
      </c>
      <c r="T251" s="262" t="str">
        <f t="shared" si="26"/>
        <v/>
      </c>
      <c r="U251" s="262" t="str">
        <f t="shared" si="25"/>
        <v/>
      </c>
    </row>
    <row r="252" spans="10:21" ht="17.25" customHeight="1" x14ac:dyDescent="0.15">
      <c r="J252" s="266"/>
      <c r="K252" s="267"/>
      <c r="L252" s="267"/>
      <c r="M252" s="268" t="s">
        <v>367</v>
      </c>
      <c r="N252" s="269" t="str">
        <f>IF(K243&amp;L243&lt;&gt;"",IF($D$28&lt;&gt;"",$D$28,""),"")</f>
        <v/>
      </c>
      <c r="O252" s="270"/>
      <c r="P252" s="271" t="str">
        <f t="shared" si="23"/>
        <v/>
      </c>
      <c r="Q252" s="272"/>
      <c r="R252" s="255">
        <f t="shared" si="28"/>
        <v>0</v>
      </c>
      <c r="S252" s="255">
        <f>IF(S243&gt;0,R252*S243,99999999)</f>
        <v>99999999</v>
      </c>
      <c r="T252" s="262" t="str">
        <f t="shared" si="26"/>
        <v/>
      </c>
      <c r="U252" s="262" t="str">
        <f t="shared" si="25"/>
        <v/>
      </c>
    </row>
    <row r="253" spans="10:21" ht="17.25" customHeight="1" x14ac:dyDescent="0.15">
      <c r="J253" s="266"/>
      <c r="K253" s="267"/>
      <c r="L253" s="267"/>
      <c r="M253" s="268" t="s">
        <v>367</v>
      </c>
      <c r="N253" s="269" t="str">
        <f>IF(K243&amp;L243&lt;&gt;"",IF($D$29&lt;&gt;"",$D$29,""),"")</f>
        <v/>
      </c>
      <c r="O253" s="270"/>
      <c r="P253" s="271" t="str">
        <f t="shared" si="23"/>
        <v/>
      </c>
      <c r="Q253" s="272"/>
      <c r="R253" s="255">
        <f t="shared" si="28"/>
        <v>0</v>
      </c>
      <c r="S253" s="255">
        <f>IF(S243&gt;0,R253*S243,99999999)</f>
        <v>99999999</v>
      </c>
      <c r="T253" s="262" t="str">
        <f t="shared" si="26"/>
        <v/>
      </c>
      <c r="U253" s="262" t="str">
        <f t="shared" si="25"/>
        <v/>
      </c>
    </row>
    <row r="254" spans="10:21" ht="17.25" hidden="1" customHeight="1" outlineLevel="1" x14ac:dyDescent="0.15">
      <c r="J254" s="266"/>
      <c r="K254" s="267"/>
      <c r="L254" s="267"/>
      <c r="M254" s="268" t="s">
        <v>367</v>
      </c>
      <c r="N254" s="269" t="str">
        <f>IF(K243&amp;L243&lt;&gt;"",IF($D$30&lt;&gt;"",$D$30,""),"")</f>
        <v/>
      </c>
      <c r="O254" s="270"/>
      <c r="P254" s="271" t="str">
        <f t="shared" si="23"/>
        <v/>
      </c>
      <c r="Q254" s="272"/>
      <c r="R254" s="255">
        <f>IF(N254&lt;&gt;"",VLOOKUP(N254,$D$19:$E$34,2,FALSE),0)</f>
        <v>0</v>
      </c>
      <c r="S254" s="255">
        <f>IF(S243&gt;0,R254*S243,99999999)</f>
        <v>99999999</v>
      </c>
      <c r="T254" s="262" t="str">
        <f t="shared" si="26"/>
        <v/>
      </c>
      <c r="U254" s="262" t="str">
        <f t="shared" si="25"/>
        <v/>
      </c>
    </row>
    <row r="255" spans="10:21" ht="17.25" hidden="1" customHeight="1" outlineLevel="1" x14ac:dyDescent="0.15">
      <c r="J255" s="266"/>
      <c r="K255" s="267"/>
      <c r="L255" s="267"/>
      <c r="M255" s="268" t="s">
        <v>367</v>
      </c>
      <c r="N255" s="269" t="str">
        <f>IF(K243&amp;L243&lt;&gt;"",IF($D$31&lt;&gt;"",$D$31,""),"")</f>
        <v/>
      </c>
      <c r="O255" s="270"/>
      <c r="P255" s="271" t="str">
        <f t="shared" si="23"/>
        <v/>
      </c>
      <c r="Q255" s="272"/>
      <c r="R255" s="255">
        <f>IF(N255&lt;&gt;"",VLOOKUP(N255,$D$19:$E$34,2,FALSE),0)</f>
        <v>0</v>
      </c>
      <c r="S255" s="255">
        <f>IF(S243&gt;0,R255*S243,99999999)</f>
        <v>99999999</v>
      </c>
      <c r="T255" s="262" t="str">
        <f t="shared" si="26"/>
        <v/>
      </c>
      <c r="U255" s="262" t="str">
        <f t="shared" si="25"/>
        <v/>
      </c>
    </row>
    <row r="256" spans="10:21" ht="17.25" hidden="1" customHeight="1" outlineLevel="1" x14ac:dyDescent="0.15">
      <c r="J256" s="266"/>
      <c r="K256" s="267"/>
      <c r="L256" s="267"/>
      <c r="M256" s="268" t="s">
        <v>367</v>
      </c>
      <c r="N256" s="269" t="str">
        <f>IF(K243&amp;L243&lt;&gt;"",IF($D$32&lt;&gt;"",$D$32,""),"")</f>
        <v/>
      </c>
      <c r="O256" s="270"/>
      <c r="P256" s="271" t="str">
        <f t="shared" si="23"/>
        <v/>
      </c>
      <c r="Q256" s="272"/>
      <c r="R256" s="255">
        <f>IF(N256&lt;&gt;"",VLOOKUP(N256,$D$19:$E$34,2,FALSE),0)</f>
        <v>0</v>
      </c>
      <c r="S256" s="255">
        <f>IF(S243&gt;0,R256*S243,99999999)</f>
        <v>99999999</v>
      </c>
      <c r="T256" s="262" t="str">
        <f t="shared" si="26"/>
        <v/>
      </c>
      <c r="U256" s="262" t="str">
        <f t="shared" si="25"/>
        <v/>
      </c>
    </row>
    <row r="257" spans="10:21" ht="17.25" hidden="1" customHeight="1" outlineLevel="1" x14ac:dyDescent="0.15">
      <c r="J257" s="266"/>
      <c r="K257" s="267"/>
      <c r="L257" s="267"/>
      <c r="M257" s="268" t="s">
        <v>367</v>
      </c>
      <c r="N257" s="269" t="str">
        <f>IF(K243&amp;L243&lt;&gt;"",IF($D$33&lt;&gt;"",$D$33,""),"")</f>
        <v/>
      </c>
      <c r="O257" s="270"/>
      <c r="P257" s="271" t="str">
        <f t="shared" si="23"/>
        <v/>
      </c>
      <c r="Q257" s="272"/>
      <c r="R257" s="255">
        <f>IF(N257&lt;&gt;"",VLOOKUP(N257,$D$19:$E$34,2,FALSE),0)</f>
        <v>0</v>
      </c>
      <c r="S257" s="255">
        <f>IF(S243&gt;0,R257*S243,99999999)</f>
        <v>99999999</v>
      </c>
      <c r="T257" s="262" t="str">
        <f t="shared" si="26"/>
        <v/>
      </c>
      <c r="U257" s="262" t="str">
        <f t="shared" si="25"/>
        <v/>
      </c>
    </row>
    <row r="258" spans="10:21" ht="17.25" hidden="1" customHeight="1" outlineLevel="1" x14ac:dyDescent="0.15">
      <c r="J258" s="279"/>
      <c r="K258" s="280"/>
      <c r="L258" s="280"/>
      <c r="M258" s="281" t="s">
        <v>367</v>
      </c>
      <c r="N258" s="278" t="str">
        <f>IF(K243&amp;L243&lt;&gt;"",IF($D$34&lt;&gt;"",$D$34,""),"")</f>
        <v/>
      </c>
      <c r="O258" s="282"/>
      <c r="P258" s="271" t="str">
        <f t="shared" si="23"/>
        <v/>
      </c>
      <c r="Q258" s="283"/>
      <c r="R258" s="255">
        <f>IF(N258&lt;&gt;"",VLOOKUP(N258,$D$19:$E$34,2,FALSE),0)</f>
        <v>0</v>
      </c>
      <c r="S258" s="255">
        <f>IF(S243&gt;0,R258*S243,99999999)</f>
        <v>99999999</v>
      </c>
      <c r="T258" s="262" t="str">
        <f t="shared" si="26"/>
        <v/>
      </c>
      <c r="U258" s="262" t="str">
        <f t="shared" si="25"/>
        <v/>
      </c>
    </row>
    <row r="259" spans="10:21" ht="17.25" customHeight="1" collapsed="1" x14ac:dyDescent="0.15">
      <c r="J259" s="256">
        <v>16</v>
      </c>
      <c r="K259" s="257"/>
      <c r="L259" s="257"/>
      <c r="M259" s="258" t="s">
        <v>366</v>
      </c>
      <c r="N259" s="259" t="str">
        <f>IF(K259&amp;L259&lt;&gt;"",IF($D$19&lt;&gt;"",$D$19,""),"")</f>
        <v/>
      </c>
      <c r="O259" s="257"/>
      <c r="P259" s="260" t="str">
        <f t="shared" si="23"/>
        <v/>
      </c>
      <c r="Q259" s="261"/>
      <c r="R259" s="255">
        <f t="shared" ref="R259:R269" si="29">IF(N259&lt;&gt;"",VLOOKUP(N259,$D$19:$E$29,2,FALSE),0)</f>
        <v>0</v>
      </c>
      <c r="S259" s="255">
        <f>IF($E$19&gt;0,IF(MOD(O259,$E$19)=0,O259/$E$19,-1),-1)</f>
        <v>-1</v>
      </c>
      <c r="T259" s="262" t="str">
        <f>IF(N259&lt;&gt;"",IF(O259&lt;&gt;"",IF(S259&gt;0,"OK","数量が不足しています"),"数量が未入力です"),"")</f>
        <v/>
      </c>
      <c r="U259" s="262" t="str">
        <f t="shared" si="25"/>
        <v/>
      </c>
    </row>
    <row r="260" spans="10:21" ht="17.25" customHeight="1" x14ac:dyDescent="0.15">
      <c r="J260" s="266"/>
      <c r="K260" s="267"/>
      <c r="L260" s="267"/>
      <c r="M260" s="268" t="s">
        <v>367</v>
      </c>
      <c r="N260" s="269" t="str">
        <f>IF(K259&amp;L259&lt;&gt;"",IF($D$20&lt;&gt;"",$D$20,""),"")</f>
        <v/>
      </c>
      <c r="O260" s="270"/>
      <c r="P260" s="271" t="str">
        <f t="shared" si="23"/>
        <v/>
      </c>
      <c r="Q260" s="272"/>
      <c r="R260" s="255">
        <f t="shared" si="29"/>
        <v>0</v>
      </c>
      <c r="S260" s="255">
        <f>IF(S259&gt;0,R260*S259,99999999)</f>
        <v>99999999</v>
      </c>
      <c r="T260" s="262" t="str">
        <f t="shared" si="26"/>
        <v/>
      </c>
      <c r="U260" s="262" t="str">
        <f t="shared" si="25"/>
        <v/>
      </c>
    </row>
    <row r="261" spans="10:21" ht="17.25" customHeight="1" x14ac:dyDescent="0.15">
      <c r="J261" s="266"/>
      <c r="K261" s="267"/>
      <c r="L261" s="267"/>
      <c r="M261" s="268" t="s">
        <v>367</v>
      </c>
      <c r="N261" s="269" t="str">
        <f>IF(K259&amp;L259&lt;&gt;"",IF($D$21&lt;&gt;"",$D$21,""),"")</f>
        <v/>
      </c>
      <c r="O261" s="270"/>
      <c r="P261" s="271" t="str">
        <f t="shared" si="23"/>
        <v/>
      </c>
      <c r="Q261" s="272"/>
      <c r="R261" s="255">
        <f t="shared" si="29"/>
        <v>0</v>
      </c>
      <c r="S261" s="255">
        <f>IF(S259&gt;0,R261*S259,99999999)</f>
        <v>99999999</v>
      </c>
      <c r="T261" s="262" t="str">
        <f t="shared" si="26"/>
        <v/>
      </c>
      <c r="U261" s="262" t="str">
        <f t="shared" si="25"/>
        <v/>
      </c>
    </row>
    <row r="262" spans="10:21" ht="17.25" customHeight="1" x14ac:dyDescent="0.15">
      <c r="J262" s="266"/>
      <c r="K262" s="267"/>
      <c r="L262" s="267"/>
      <c r="M262" s="268" t="s">
        <v>367</v>
      </c>
      <c r="N262" s="269" t="str">
        <f>IF(K259&amp;L259&lt;&gt;"",IF($D$22&lt;&gt;"",$D$22,""),"")</f>
        <v/>
      </c>
      <c r="O262" s="270"/>
      <c r="P262" s="271" t="str">
        <f t="shared" si="23"/>
        <v/>
      </c>
      <c r="Q262" s="272"/>
      <c r="R262" s="255">
        <f t="shared" si="29"/>
        <v>0</v>
      </c>
      <c r="S262" s="255">
        <f>IF(S259&gt;0,R262*S259,99999999)</f>
        <v>99999999</v>
      </c>
      <c r="T262" s="262" t="str">
        <f t="shared" si="26"/>
        <v/>
      </c>
      <c r="U262" s="262" t="str">
        <f t="shared" si="25"/>
        <v/>
      </c>
    </row>
    <row r="263" spans="10:21" ht="17.25" customHeight="1" x14ac:dyDescent="0.15">
      <c r="J263" s="266"/>
      <c r="K263" s="267"/>
      <c r="L263" s="267"/>
      <c r="M263" s="268" t="s">
        <v>367</v>
      </c>
      <c r="N263" s="269" t="str">
        <f>IF(K259&amp;L259&lt;&gt;"",IF($D$23&lt;&gt;"",$D$23,""),"")</f>
        <v/>
      </c>
      <c r="O263" s="270"/>
      <c r="P263" s="271" t="str">
        <f t="shared" si="23"/>
        <v/>
      </c>
      <c r="Q263" s="272"/>
      <c r="R263" s="255">
        <f t="shared" si="29"/>
        <v>0</v>
      </c>
      <c r="S263" s="255">
        <f>IF(S259&gt;0,R263*S259,99999999)</f>
        <v>99999999</v>
      </c>
      <c r="T263" s="262" t="str">
        <f t="shared" si="26"/>
        <v/>
      </c>
      <c r="U263" s="262" t="str">
        <f t="shared" si="25"/>
        <v/>
      </c>
    </row>
    <row r="264" spans="10:21" ht="17.25" customHeight="1" x14ac:dyDescent="0.15">
      <c r="J264" s="266"/>
      <c r="K264" s="267"/>
      <c r="L264" s="267"/>
      <c r="M264" s="268" t="s">
        <v>367</v>
      </c>
      <c r="N264" s="269" t="str">
        <f>IF(K259&amp;L259&lt;&gt;"",IF($D$24&lt;&gt;"",$D$24,""),"")</f>
        <v/>
      </c>
      <c r="O264" s="270"/>
      <c r="P264" s="271" t="str">
        <f t="shared" si="23"/>
        <v/>
      </c>
      <c r="Q264" s="272"/>
      <c r="R264" s="255">
        <f t="shared" si="29"/>
        <v>0</v>
      </c>
      <c r="S264" s="255">
        <f>IF(S259&gt;0,R264*S259,99999999)</f>
        <v>99999999</v>
      </c>
      <c r="T264" s="262" t="str">
        <f t="shared" si="26"/>
        <v/>
      </c>
      <c r="U264" s="262" t="str">
        <f t="shared" si="25"/>
        <v/>
      </c>
    </row>
    <row r="265" spans="10:21" ht="17.25" customHeight="1" x14ac:dyDescent="0.15">
      <c r="J265" s="266"/>
      <c r="K265" s="267"/>
      <c r="L265" s="267"/>
      <c r="M265" s="268" t="s">
        <v>367</v>
      </c>
      <c r="N265" s="269" t="str">
        <f>IF(K259&amp;L259&lt;&gt;"",IF($D$25&lt;&gt;"",$D$25,""),"")</f>
        <v/>
      </c>
      <c r="O265" s="270"/>
      <c r="P265" s="271" t="str">
        <f t="shared" si="23"/>
        <v/>
      </c>
      <c r="Q265" s="272"/>
      <c r="R265" s="255">
        <f t="shared" si="29"/>
        <v>0</v>
      </c>
      <c r="S265" s="255">
        <f>IF(S259&gt;0,R265*S259,99999999)</f>
        <v>99999999</v>
      </c>
      <c r="T265" s="262" t="str">
        <f t="shared" si="26"/>
        <v/>
      </c>
      <c r="U265" s="262" t="str">
        <f t="shared" si="25"/>
        <v/>
      </c>
    </row>
    <row r="266" spans="10:21" ht="17.25" customHeight="1" x14ac:dyDescent="0.15">
      <c r="J266" s="266"/>
      <c r="K266" s="267"/>
      <c r="L266" s="267"/>
      <c r="M266" s="268" t="s">
        <v>367</v>
      </c>
      <c r="N266" s="269" t="str">
        <f>IF(K259&amp;L259&lt;&gt;"",IF($D$26&lt;&gt;"",$D$26,""),"")</f>
        <v/>
      </c>
      <c r="O266" s="270"/>
      <c r="P266" s="271" t="str">
        <f t="shared" si="23"/>
        <v/>
      </c>
      <c r="Q266" s="272"/>
      <c r="R266" s="255">
        <f t="shared" si="29"/>
        <v>0</v>
      </c>
      <c r="S266" s="255">
        <f>IF(S259&gt;0,R266*S259,99999999)</f>
        <v>99999999</v>
      </c>
      <c r="T266" s="262" t="str">
        <f t="shared" si="26"/>
        <v/>
      </c>
      <c r="U266" s="262" t="str">
        <f t="shared" si="25"/>
        <v/>
      </c>
    </row>
    <row r="267" spans="10:21" ht="17.25" customHeight="1" x14ac:dyDescent="0.15">
      <c r="J267" s="266"/>
      <c r="K267" s="267"/>
      <c r="L267" s="267"/>
      <c r="M267" s="268" t="s">
        <v>367</v>
      </c>
      <c r="N267" s="269" t="str">
        <f>IF(K259&amp;L259&lt;&gt;"",IF($D$27&lt;&gt;"",$D$27,""),"")</f>
        <v/>
      </c>
      <c r="O267" s="270"/>
      <c r="P267" s="271" t="str">
        <f t="shared" si="23"/>
        <v/>
      </c>
      <c r="Q267" s="272"/>
      <c r="R267" s="255">
        <f t="shared" si="29"/>
        <v>0</v>
      </c>
      <c r="S267" s="255">
        <f>IF(S259&gt;0,R267*S259,99999999)</f>
        <v>99999999</v>
      </c>
      <c r="T267" s="262" t="str">
        <f t="shared" si="26"/>
        <v/>
      </c>
      <c r="U267" s="262" t="str">
        <f t="shared" si="25"/>
        <v/>
      </c>
    </row>
    <row r="268" spans="10:21" ht="17.25" customHeight="1" x14ac:dyDescent="0.15">
      <c r="J268" s="266"/>
      <c r="K268" s="267"/>
      <c r="L268" s="267"/>
      <c r="M268" s="268" t="s">
        <v>367</v>
      </c>
      <c r="N268" s="269" t="str">
        <f>IF(K259&amp;L259&lt;&gt;"",IF($D$28&lt;&gt;"",$D$28,""),"")</f>
        <v/>
      </c>
      <c r="O268" s="270"/>
      <c r="P268" s="271" t="str">
        <f t="shared" si="23"/>
        <v/>
      </c>
      <c r="Q268" s="272"/>
      <c r="R268" s="255">
        <f t="shared" si="29"/>
        <v>0</v>
      </c>
      <c r="S268" s="255">
        <f>IF(S259&gt;0,R268*S259,99999999)</f>
        <v>99999999</v>
      </c>
      <c r="T268" s="262" t="str">
        <f t="shared" si="26"/>
        <v/>
      </c>
      <c r="U268" s="262" t="str">
        <f t="shared" si="25"/>
        <v/>
      </c>
    </row>
    <row r="269" spans="10:21" ht="17.25" customHeight="1" x14ac:dyDescent="0.15">
      <c r="J269" s="266"/>
      <c r="K269" s="267"/>
      <c r="L269" s="267"/>
      <c r="M269" s="268" t="s">
        <v>367</v>
      </c>
      <c r="N269" s="269" t="str">
        <f>IF(K259&amp;L259&lt;&gt;"",IF($D$29&lt;&gt;"",$D$29,""),"")</f>
        <v/>
      </c>
      <c r="O269" s="270"/>
      <c r="P269" s="271" t="str">
        <f t="shared" si="23"/>
        <v/>
      </c>
      <c r="Q269" s="272"/>
      <c r="R269" s="255">
        <f t="shared" si="29"/>
        <v>0</v>
      </c>
      <c r="S269" s="255">
        <f>IF(S259&gt;0,R269*S259,99999999)</f>
        <v>99999999</v>
      </c>
      <c r="T269" s="262" t="str">
        <f t="shared" si="26"/>
        <v/>
      </c>
      <c r="U269" s="262" t="str">
        <f t="shared" si="25"/>
        <v/>
      </c>
    </row>
    <row r="270" spans="10:21" ht="17.25" hidden="1" customHeight="1" outlineLevel="1" x14ac:dyDescent="0.15">
      <c r="J270" s="266"/>
      <c r="K270" s="267"/>
      <c r="L270" s="267"/>
      <c r="M270" s="268" t="s">
        <v>367</v>
      </c>
      <c r="N270" s="269" t="str">
        <f>IF(K259&amp;L259&lt;&gt;"",IF($D$30&lt;&gt;"",$D$30,""),"")</f>
        <v/>
      </c>
      <c r="O270" s="270"/>
      <c r="P270" s="271" t="str">
        <f t="shared" si="23"/>
        <v/>
      </c>
      <c r="Q270" s="272"/>
      <c r="R270" s="255">
        <f>IF(N270&lt;&gt;"",VLOOKUP(N270,$D$19:$E$34,2,FALSE),0)</f>
        <v>0</v>
      </c>
      <c r="S270" s="255">
        <f>IF(S259&gt;0,R270*S259,99999999)</f>
        <v>99999999</v>
      </c>
      <c r="T270" s="262" t="str">
        <f t="shared" si="26"/>
        <v/>
      </c>
      <c r="U270" s="262" t="str">
        <f t="shared" si="25"/>
        <v/>
      </c>
    </row>
    <row r="271" spans="10:21" ht="17.25" hidden="1" customHeight="1" outlineLevel="1" x14ac:dyDescent="0.15">
      <c r="J271" s="266"/>
      <c r="K271" s="267"/>
      <c r="L271" s="267"/>
      <c r="M271" s="268" t="s">
        <v>367</v>
      </c>
      <c r="N271" s="269" t="str">
        <f>IF(K259&amp;L259&lt;&gt;"",IF($D$31&lt;&gt;"",$D$31,""),"")</f>
        <v/>
      </c>
      <c r="O271" s="270"/>
      <c r="P271" s="271" t="str">
        <f t="shared" si="23"/>
        <v/>
      </c>
      <c r="Q271" s="272"/>
      <c r="R271" s="255">
        <f>IF(N271&lt;&gt;"",VLOOKUP(N271,$D$19:$E$34,2,FALSE),0)</f>
        <v>0</v>
      </c>
      <c r="S271" s="255">
        <f>IF(S259&gt;0,R271*S259,99999999)</f>
        <v>99999999</v>
      </c>
      <c r="T271" s="262" t="str">
        <f t="shared" si="26"/>
        <v/>
      </c>
      <c r="U271" s="262" t="str">
        <f t="shared" si="25"/>
        <v/>
      </c>
    </row>
    <row r="272" spans="10:21" ht="17.25" hidden="1" customHeight="1" outlineLevel="1" x14ac:dyDescent="0.15">
      <c r="J272" s="266"/>
      <c r="K272" s="267"/>
      <c r="L272" s="267"/>
      <c r="M272" s="268" t="s">
        <v>367</v>
      </c>
      <c r="N272" s="269" t="str">
        <f>IF(K259&amp;L259&lt;&gt;"",IF($D$32&lt;&gt;"",$D$32,""),"")</f>
        <v/>
      </c>
      <c r="O272" s="270"/>
      <c r="P272" s="271" t="str">
        <f t="shared" si="23"/>
        <v/>
      </c>
      <c r="Q272" s="272"/>
      <c r="R272" s="255">
        <f>IF(N272&lt;&gt;"",VLOOKUP(N272,$D$19:$E$34,2,FALSE),0)</f>
        <v>0</v>
      </c>
      <c r="S272" s="255">
        <f>IF(S259&gt;0,R272*S259,99999999)</f>
        <v>99999999</v>
      </c>
      <c r="T272" s="262" t="str">
        <f t="shared" si="26"/>
        <v/>
      </c>
      <c r="U272" s="262" t="str">
        <f t="shared" si="25"/>
        <v/>
      </c>
    </row>
    <row r="273" spans="10:21" ht="17.25" hidden="1" customHeight="1" outlineLevel="1" x14ac:dyDescent="0.15">
      <c r="J273" s="266"/>
      <c r="K273" s="267"/>
      <c r="L273" s="267"/>
      <c r="M273" s="268" t="s">
        <v>367</v>
      </c>
      <c r="N273" s="269" t="str">
        <f>IF(K259&amp;L259&lt;&gt;"",IF($D$33&lt;&gt;"",$D$33,""),"")</f>
        <v/>
      </c>
      <c r="O273" s="270"/>
      <c r="P273" s="271" t="str">
        <f t="shared" si="23"/>
        <v/>
      </c>
      <c r="Q273" s="272"/>
      <c r="R273" s="255">
        <f>IF(N273&lt;&gt;"",VLOOKUP(N273,$D$19:$E$34,2,FALSE),0)</f>
        <v>0</v>
      </c>
      <c r="S273" s="255">
        <f>IF(S259&gt;0,R273*S259,99999999)</f>
        <v>99999999</v>
      </c>
      <c r="T273" s="262" t="str">
        <f t="shared" si="26"/>
        <v/>
      </c>
      <c r="U273" s="262" t="str">
        <f t="shared" si="25"/>
        <v/>
      </c>
    </row>
    <row r="274" spans="10:21" ht="17.25" hidden="1" customHeight="1" outlineLevel="1" x14ac:dyDescent="0.15">
      <c r="J274" s="279"/>
      <c r="K274" s="280"/>
      <c r="L274" s="280"/>
      <c r="M274" s="281" t="s">
        <v>367</v>
      </c>
      <c r="N274" s="278" t="str">
        <f>IF(K259&amp;L259&lt;&gt;"",IF($D$34&lt;&gt;"",$D$34,""),"")</f>
        <v/>
      </c>
      <c r="O274" s="282"/>
      <c r="P274" s="271" t="str">
        <f t="shared" si="23"/>
        <v/>
      </c>
      <c r="Q274" s="283"/>
      <c r="R274" s="255">
        <f>IF(N274&lt;&gt;"",VLOOKUP(N274,$D$19:$E$34,2,FALSE),0)</f>
        <v>0</v>
      </c>
      <c r="S274" s="255">
        <f>IF(S259&gt;0,R274*S259,99999999)</f>
        <v>99999999</v>
      </c>
      <c r="T274" s="262" t="str">
        <f t="shared" si="26"/>
        <v/>
      </c>
      <c r="U274" s="262" t="str">
        <f t="shared" si="25"/>
        <v/>
      </c>
    </row>
    <row r="275" spans="10:21" ht="17.25" customHeight="1" collapsed="1" x14ac:dyDescent="0.15">
      <c r="J275" s="256">
        <v>17</v>
      </c>
      <c r="K275" s="257"/>
      <c r="L275" s="257"/>
      <c r="M275" s="258" t="s">
        <v>366</v>
      </c>
      <c r="N275" s="259" t="str">
        <f>IF(K275&amp;L275&lt;&gt;"",IF($D$19&lt;&gt;"",$D$19,""),"")</f>
        <v/>
      </c>
      <c r="O275" s="257"/>
      <c r="P275" s="260" t="str">
        <f t="shared" ref="P275:P338" si="30">IF(ISERROR(ROUND(Q275/O275,0)),"",ROUND(Q275/O275,0))</f>
        <v/>
      </c>
      <c r="Q275" s="261"/>
      <c r="R275" s="255">
        <f t="shared" ref="R275:R285" si="31">IF(N275&lt;&gt;"",VLOOKUP(N275,$D$19:$E$29,2,FALSE),0)</f>
        <v>0</v>
      </c>
      <c r="S275" s="255">
        <f>IF($E$19&gt;0,IF(MOD(O275,$E$19)=0,O275/$E$19,-1),-1)</f>
        <v>-1</v>
      </c>
      <c r="T275" s="262" t="str">
        <f>IF(N275&lt;&gt;"",IF(O275&lt;&gt;"",IF(S275&gt;0,"OK","数量が不足しています"),"数量が未入力です"),"")</f>
        <v/>
      </c>
      <c r="U275" s="262" t="str">
        <f t="shared" ref="U275:U338" si="32">IF(O275&lt;&gt;"",IF(Q275&lt;&gt;"","OK","未入力です"),"")</f>
        <v/>
      </c>
    </row>
    <row r="276" spans="10:21" ht="17.25" customHeight="1" x14ac:dyDescent="0.15">
      <c r="J276" s="266"/>
      <c r="K276" s="267"/>
      <c r="L276" s="267"/>
      <c r="M276" s="268" t="s">
        <v>367</v>
      </c>
      <c r="N276" s="269" t="str">
        <f>IF(K275&amp;L275&lt;&gt;"",IF($D$20&lt;&gt;"",$D$20,""),"")</f>
        <v/>
      </c>
      <c r="O276" s="270"/>
      <c r="P276" s="271" t="str">
        <f t="shared" si="30"/>
        <v/>
      </c>
      <c r="Q276" s="272"/>
      <c r="R276" s="255">
        <f t="shared" si="31"/>
        <v>0</v>
      </c>
      <c r="S276" s="255">
        <f>IF(S275&gt;0,R276*S275,99999999)</f>
        <v>99999999</v>
      </c>
      <c r="T276" s="262" t="str">
        <f t="shared" ref="T276:T338" si="33">IF(N276&lt;&gt;"",IF(O276&lt;&gt;"",IF(O276&gt;=S276,"OK","数量が不足しています"),"数量が未入力です"),"")</f>
        <v/>
      </c>
      <c r="U276" s="262" t="str">
        <f t="shared" si="32"/>
        <v/>
      </c>
    </row>
    <row r="277" spans="10:21" ht="17.25" customHeight="1" x14ac:dyDescent="0.15">
      <c r="J277" s="266"/>
      <c r="K277" s="267"/>
      <c r="L277" s="267"/>
      <c r="M277" s="268" t="s">
        <v>367</v>
      </c>
      <c r="N277" s="269" t="str">
        <f>IF(K275&amp;L275&lt;&gt;"",IF($D$21&lt;&gt;"",$D$21,""),"")</f>
        <v/>
      </c>
      <c r="O277" s="270"/>
      <c r="P277" s="271" t="str">
        <f t="shared" si="30"/>
        <v/>
      </c>
      <c r="Q277" s="272"/>
      <c r="R277" s="255">
        <f t="shared" si="31"/>
        <v>0</v>
      </c>
      <c r="S277" s="255">
        <f>IF(S275&gt;0,R277*S275,99999999)</f>
        <v>99999999</v>
      </c>
      <c r="T277" s="262" t="str">
        <f t="shared" si="33"/>
        <v/>
      </c>
      <c r="U277" s="262" t="str">
        <f t="shared" si="32"/>
        <v/>
      </c>
    </row>
    <row r="278" spans="10:21" ht="17.25" customHeight="1" x14ac:dyDescent="0.15">
      <c r="J278" s="266"/>
      <c r="K278" s="267"/>
      <c r="L278" s="267"/>
      <c r="M278" s="268" t="s">
        <v>367</v>
      </c>
      <c r="N278" s="269" t="str">
        <f>IF(K275&amp;L275&lt;&gt;"",IF($D$22&lt;&gt;"",$D$22,""),"")</f>
        <v/>
      </c>
      <c r="O278" s="270"/>
      <c r="P278" s="271" t="str">
        <f t="shared" si="30"/>
        <v/>
      </c>
      <c r="Q278" s="272"/>
      <c r="R278" s="255">
        <f t="shared" si="31"/>
        <v>0</v>
      </c>
      <c r="S278" s="255">
        <f>IF(S275&gt;0,R278*S275,99999999)</f>
        <v>99999999</v>
      </c>
      <c r="T278" s="262" t="str">
        <f t="shared" si="33"/>
        <v/>
      </c>
      <c r="U278" s="262" t="str">
        <f t="shared" si="32"/>
        <v/>
      </c>
    </row>
    <row r="279" spans="10:21" ht="17.25" customHeight="1" x14ac:dyDescent="0.15">
      <c r="J279" s="266"/>
      <c r="K279" s="267"/>
      <c r="L279" s="267"/>
      <c r="M279" s="268" t="s">
        <v>367</v>
      </c>
      <c r="N279" s="269" t="str">
        <f>IF(K275&amp;L275&lt;&gt;"",IF($D$23&lt;&gt;"",$D$23,""),"")</f>
        <v/>
      </c>
      <c r="O279" s="270"/>
      <c r="P279" s="271" t="str">
        <f t="shared" si="30"/>
        <v/>
      </c>
      <c r="Q279" s="272"/>
      <c r="R279" s="255">
        <f t="shared" si="31"/>
        <v>0</v>
      </c>
      <c r="S279" s="255">
        <f>IF(S275&gt;0,R279*S275,99999999)</f>
        <v>99999999</v>
      </c>
      <c r="T279" s="262" t="str">
        <f t="shared" si="33"/>
        <v/>
      </c>
      <c r="U279" s="262" t="str">
        <f t="shared" si="32"/>
        <v/>
      </c>
    </row>
    <row r="280" spans="10:21" ht="17.25" customHeight="1" x14ac:dyDescent="0.15">
      <c r="J280" s="266"/>
      <c r="K280" s="267"/>
      <c r="L280" s="267"/>
      <c r="M280" s="268" t="s">
        <v>367</v>
      </c>
      <c r="N280" s="269" t="str">
        <f>IF(K275&amp;L275&lt;&gt;"",IF($D$24&lt;&gt;"",$D$24,""),"")</f>
        <v/>
      </c>
      <c r="O280" s="270"/>
      <c r="P280" s="271" t="str">
        <f t="shared" si="30"/>
        <v/>
      </c>
      <c r="Q280" s="272"/>
      <c r="R280" s="255">
        <f t="shared" si="31"/>
        <v>0</v>
      </c>
      <c r="S280" s="255">
        <f>IF(S275&gt;0,R280*S275,99999999)</f>
        <v>99999999</v>
      </c>
      <c r="T280" s="262" t="str">
        <f t="shared" si="33"/>
        <v/>
      </c>
      <c r="U280" s="262" t="str">
        <f t="shared" si="32"/>
        <v/>
      </c>
    </row>
    <row r="281" spans="10:21" ht="17.25" customHeight="1" x14ac:dyDescent="0.15">
      <c r="J281" s="266"/>
      <c r="K281" s="267"/>
      <c r="L281" s="267"/>
      <c r="M281" s="268" t="s">
        <v>367</v>
      </c>
      <c r="N281" s="269" t="str">
        <f>IF(K275&amp;L275&lt;&gt;"",IF($D$25&lt;&gt;"",$D$25,""),"")</f>
        <v/>
      </c>
      <c r="O281" s="270"/>
      <c r="P281" s="271" t="str">
        <f t="shared" si="30"/>
        <v/>
      </c>
      <c r="Q281" s="272"/>
      <c r="R281" s="255">
        <f t="shared" si="31"/>
        <v>0</v>
      </c>
      <c r="S281" s="255">
        <f>IF(S275&gt;0,R281*S275,99999999)</f>
        <v>99999999</v>
      </c>
      <c r="T281" s="262" t="str">
        <f t="shared" si="33"/>
        <v/>
      </c>
      <c r="U281" s="262" t="str">
        <f t="shared" si="32"/>
        <v/>
      </c>
    </row>
    <row r="282" spans="10:21" ht="17.25" customHeight="1" x14ac:dyDescent="0.15">
      <c r="J282" s="266"/>
      <c r="K282" s="267"/>
      <c r="L282" s="267"/>
      <c r="M282" s="268" t="s">
        <v>367</v>
      </c>
      <c r="N282" s="269" t="str">
        <f>IF(K275&amp;L275&lt;&gt;"",IF($D$26&lt;&gt;"",$D$26,""),"")</f>
        <v/>
      </c>
      <c r="O282" s="270"/>
      <c r="P282" s="271" t="str">
        <f t="shared" si="30"/>
        <v/>
      </c>
      <c r="Q282" s="272"/>
      <c r="R282" s="255">
        <f t="shared" si="31"/>
        <v>0</v>
      </c>
      <c r="S282" s="255">
        <f>IF(S275&gt;0,R282*S275,99999999)</f>
        <v>99999999</v>
      </c>
      <c r="T282" s="262" t="str">
        <f t="shared" si="33"/>
        <v/>
      </c>
      <c r="U282" s="262" t="str">
        <f t="shared" si="32"/>
        <v/>
      </c>
    </row>
    <row r="283" spans="10:21" ht="17.25" customHeight="1" x14ac:dyDescent="0.15">
      <c r="J283" s="266"/>
      <c r="K283" s="267"/>
      <c r="L283" s="267"/>
      <c r="M283" s="268" t="s">
        <v>367</v>
      </c>
      <c r="N283" s="269" t="str">
        <f>IF(K275&amp;L275&lt;&gt;"",IF($D$27&lt;&gt;"",$D$27,""),"")</f>
        <v/>
      </c>
      <c r="O283" s="270"/>
      <c r="P283" s="271" t="str">
        <f t="shared" si="30"/>
        <v/>
      </c>
      <c r="Q283" s="272"/>
      <c r="R283" s="255">
        <f t="shared" si="31"/>
        <v>0</v>
      </c>
      <c r="S283" s="255">
        <f>IF(S275&gt;0,R283*S275,99999999)</f>
        <v>99999999</v>
      </c>
      <c r="T283" s="262" t="str">
        <f t="shared" si="33"/>
        <v/>
      </c>
      <c r="U283" s="262" t="str">
        <f t="shared" si="32"/>
        <v/>
      </c>
    </row>
    <row r="284" spans="10:21" ht="17.25" customHeight="1" x14ac:dyDescent="0.15">
      <c r="J284" s="266"/>
      <c r="K284" s="267"/>
      <c r="L284" s="267"/>
      <c r="M284" s="268" t="s">
        <v>367</v>
      </c>
      <c r="N284" s="269" t="str">
        <f>IF(K275&amp;L275&lt;&gt;"",IF($D$28&lt;&gt;"",$D$28,""),"")</f>
        <v/>
      </c>
      <c r="O284" s="270"/>
      <c r="P284" s="271" t="str">
        <f t="shared" si="30"/>
        <v/>
      </c>
      <c r="Q284" s="272"/>
      <c r="R284" s="255">
        <f t="shared" si="31"/>
        <v>0</v>
      </c>
      <c r="S284" s="255">
        <f>IF(S275&gt;0,R284*S275,99999999)</f>
        <v>99999999</v>
      </c>
      <c r="T284" s="262" t="str">
        <f t="shared" si="33"/>
        <v/>
      </c>
      <c r="U284" s="262" t="str">
        <f t="shared" si="32"/>
        <v/>
      </c>
    </row>
    <row r="285" spans="10:21" ht="17.25" customHeight="1" x14ac:dyDescent="0.15">
      <c r="J285" s="266"/>
      <c r="K285" s="267"/>
      <c r="L285" s="267"/>
      <c r="M285" s="268" t="s">
        <v>367</v>
      </c>
      <c r="N285" s="269" t="str">
        <f>IF(K275&amp;L275&lt;&gt;"",IF($D$29&lt;&gt;"",$D$29,""),"")</f>
        <v/>
      </c>
      <c r="O285" s="270"/>
      <c r="P285" s="271" t="str">
        <f t="shared" si="30"/>
        <v/>
      </c>
      <c r="Q285" s="272"/>
      <c r="R285" s="255">
        <f t="shared" si="31"/>
        <v>0</v>
      </c>
      <c r="S285" s="255">
        <f>IF(S275&gt;0,R285*S275,99999999)</f>
        <v>99999999</v>
      </c>
      <c r="T285" s="262" t="str">
        <f t="shared" si="33"/>
        <v/>
      </c>
      <c r="U285" s="262" t="str">
        <f t="shared" si="32"/>
        <v/>
      </c>
    </row>
    <row r="286" spans="10:21" ht="17.25" hidden="1" customHeight="1" outlineLevel="1" x14ac:dyDescent="0.15">
      <c r="J286" s="266"/>
      <c r="K286" s="267"/>
      <c r="L286" s="267"/>
      <c r="M286" s="268" t="s">
        <v>367</v>
      </c>
      <c r="N286" s="269" t="str">
        <f>IF(K275&amp;L275&lt;&gt;"",IF($D$30&lt;&gt;"",$D$30,""),"")</f>
        <v/>
      </c>
      <c r="O286" s="270"/>
      <c r="P286" s="271" t="str">
        <f t="shared" si="30"/>
        <v/>
      </c>
      <c r="Q286" s="272"/>
      <c r="R286" s="255">
        <f>IF(N286&lt;&gt;"",VLOOKUP(N286,$D$19:$E$34,2,FALSE),0)</f>
        <v>0</v>
      </c>
      <c r="S286" s="255">
        <f>IF(S275&gt;0,R286*S275,99999999)</f>
        <v>99999999</v>
      </c>
      <c r="T286" s="262" t="str">
        <f t="shared" si="33"/>
        <v/>
      </c>
      <c r="U286" s="262" t="str">
        <f t="shared" si="32"/>
        <v/>
      </c>
    </row>
    <row r="287" spans="10:21" ht="17.25" hidden="1" customHeight="1" outlineLevel="1" x14ac:dyDescent="0.15">
      <c r="J287" s="266"/>
      <c r="K287" s="267"/>
      <c r="L287" s="267"/>
      <c r="M287" s="268" t="s">
        <v>367</v>
      </c>
      <c r="N287" s="269" t="str">
        <f>IF(K275&amp;L275&lt;&gt;"",IF($D$31&lt;&gt;"",$D$31,""),"")</f>
        <v/>
      </c>
      <c r="O287" s="270"/>
      <c r="P287" s="271" t="str">
        <f t="shared" si="30"/>
        <v/>
      </c>
      <c r="Q287" s="272"/>
      <c r="R287" s="255">
        <f>IF(N287&lt;&gt;"",VLOOKUP(N287,$D$19:$E$34,2,FALSE),0)</f>
        <v>0</v>
      </c>
      <c r="S287" s="255">
        <f>IF(S275&gt;0,R287*S275,99999999)</f>
        <v>99999999</v>
      </c>
      <c r="T287" s="262" t="str">
        <f t="shared" si="33"/>
        <v/>
      </c>
      <c r="U287" s="262" t="str">
        <f t="shared" si="32"/>
        <v/>
      </c>
    </row>
    <row r="288" spans="10:21" ht="17.25" hidden="1" customHeight="1" outlineLevel="1" x14ac:dyDescent="0.15">
      <c r="J288" s="266"/>
      <c r="K288" s="267"/>
      <c r="L288" s="267"/>
      <c r="M288" s="268" t="s">
        <v>367</v>
      </c>
      <c r="N288" s="269" t="str">
        <f>IF(K275&amp;L275&lt;&gt;"",IF($D$32&lt;&gt;"",$D$32,""),"")</f>
        <v/>
      </c>
      <c r="O288" s="270"/>
      <c r="P288" s="271" t="str">
        <f t="shared" si="30"/>
        <v/>
      </c>
      <c r="Q288" s="272"/>
      <c r="R288" s="255">
        <f>IF(N288&lt;&gt;"",VLOOKUP(N288,$D$19:$E$34,2,FALSE),0)</f>
        <v>0</v>
      </c>
      <c r="S288" s="255">
        <f>IF(S275&gt;0,R288*S275,99999999)</f>
        <v>99999999</v>
      </c>
      <c r="T288" s="262" t="str">
        <f t="shared" si="33"/>
        <v/>
      </c>
      <c r="U288" s="262" t="str">
        <f t="shared" si="32"/>
        <v/>
      </c>
    </row>
    <row r="289" spans="10:21" ht="17.25" hidden="1" customHeight="1" outlineLevel="1" x14ac:dyDescent="0.15">
      <c r="J289" s="266"/>
      <c r="K289" s="267"/>
      <c r="L289" s="267"/>
      <c r="M289" s="268" t="s">
        <v>367</v>
      </c>
      <c r="N289" s="269" t="str">
        <f>IF(K275&amp;L275&lt;&gt;"",IF($D$33&lt;&gt;"",$D$33,""),"")</f>
        <v/>
      </c>
      <c r="O289" s="270"/>
      <c r="P289" s="271" t="str">
        <f t="shared" si="30"/>
        <v/>
      </c>
      <c r="Q289" s="272"/>
      <c r="R289" s="255">
        <f>IF(N289&lt;&gt;"",VLOOKUP(N289,$D$19:$E$34,2,FALSE),0)</f>
        <v>0</v>
      </c>
      <c r="S289" s="255">
        <f>IF(S275&gt;0,R289*S275,99999999)</f>
        <v>99999999</v>
      </c>
      <c r="T289" s="262" t="str">
        <f t="shared" si="33"/>
        <v/>
      </c>
      <c r="U289" s="262" t="str">
        <f t="shared" si="32"/>
        <v/>
      </c>
    </row>
    <row r="290" spans="10:21" ht="17.25" hidden="1" customHeight="1" outlineLevel="1" x14ac:dyDescent="0.15">
      <c r="J290" s="279"/>
      <c r="K290" s="280"/>
      <c r="L290" s="280"/>
      <c r="M290" s="281" t="s">
        <v>367</v>
      </c>
      <c r="N290" s="278" t="str">
        <f>IF(K275&amp;L275&lt;&gt;"",IF($D$34&lt;&gt;"",$D$34,""),"")</f>
        <v/>
      </c>
      <c r="O290" s="282"/>
      <c r="P290" s="271" t="str">
        <f t="shared" si="30"/>
        <v/>
      </c>
      <c r="Q290" s="283"/>
      <c r="R290" s="255">
        <f>IF(N290&lt;&gt;"",VLOOKUP(N290,$D$19:$E$34,2,FALSE),0)</f>
        <v>0</v>
      </c>
      <c r="S290" s="255">
        <f>IF(S275&gt;0,R290*S275,99999999)</f>
        <v>99999999</v>
      </c>
      <c r="T290" s="262" t="str">
        <f t="shared" si="33"/>
        <v/>
      </c>
      <c r="U290" s="262" t="str">
        <f t="shared" si="32"/>
        <v/>
      </c>
    </row>
    <row r="291" spans="10:21" ht="17.25" customHeight="1" collapsed="1" x14ac:dyDescent="0.15">
      <c r="J291" s="256">
        <v>18</v>
      </c>
      <c r="K291" s="257"/>
      <c r="L291" s="257"/>
      <c r="M291" s="258" t="s">
        <v>366</v>
      </c>
      <c r="N291" s="259" t="str">
        <f>IF(K291&amp;L291&lt;&gt;"",IF($D$19&lt;&gt;"",$D$19,""),"")</f>
        <v/>
      </c>
      <c r="O291" s="257"/>
      <c r="P291" s="260" t="str">
        <f t="shared" si="30"/>
        <v/>
      </c>
      <c r="Q291" s="261"/>
      <c r="R291" s="255">
        <f t="shared" ref="R291:R301" si="34">IF(N291&lt;&gt;"",VLOOKUP(N291,$D$19:$E$29,2,FALSE),0)</f>
        <v>0</v>
      </c>
      <c r="S291" s="255">
        <f>IF($E$19&gt;0,IF(MOD(O291,$E$19)=0,O291/$E$19,-1),-1)</f>
        <v>-1</v>
      </c>
      <c r="T291" s="262" t="str">
        <f>IF(N291&lt;&gt;"",IF(O291&lt;&gt;"",IF(S291&gt;0,"OK","数量が不足しています"),"数量が未入力です"),"")</f>
        <v/>
      </c>
      <c r="U291" s="262" t="str">
        <f t="shared" si="32"/>
        <v/>
      </c>
    </row>
    <row r="292" spans="10:21" ht="17.25" customHeight="1" x14ac:dyDescent="0.15">
      <c r="J292" s="266"/>
      <c r="K292" s="267"/>
      <c r="L292" s="267"/>
      <c r="M292" s="268" t="s">
        <v>367</v>
      </c>
      <c r="N292" s="269" t="str">
        <f>IF(K291&amp;L291&lt;&gt;"",IF($D$20&lt;&gt;"",$D$20,""),"")</f>
        <v/>
      </c>
      <c r="O292" s="270"/>
      <c r="P292" s="271" t="str">
        <f t="shared" si="30"/>
        <v/>
      </c>
      <c r="Q292" s="272"/>
      <c r="R292" s="255">
        <f t="shared" si="34"/>
        <v>0</v>
      </c>
      <c r="S292" s="255">
        <f>IF(S291&gt;0,R292*S291,99999999)</f>
        <v>99999999</v>
      </c>
      <c r="T292" s="262" t="str">
        <f t="shared" si="33"/>
        <v/>
      </c>
      <c r="U292" s="262" t="str">
        <f t="shared" si="32"/>
        <v/>
      </c>
    </row>
    <row r="293" spans="10:21" ht="17.25" customHeight="1" x14ac:dyDescent="0.15">
      <c r="J293" s="266"/>
      <c r="K293" s="267"/>
      <c r="L293" s="267"/>
      <c r="M293" s="268" t="s">
        <v>367</v>
      </c>
      <c r="N293" s="269" t="str">
        <f>IF(K291&amp;L291&lt;&gt;"",IF($D$21&lt;&gt;"",$D$21,""),"")</f>
        <v/>
      </c>
      <c r="O293" s="270"/>
      <c r="P293" s="271" t="str">
        <f t="shared" si="30"/>
        <v/>
      </c>
      <c r="Q293" s="272"/>
      <c r="R293" s="255">
        <f t="shared" si="34"/>
        <v>0</v>
      </c>
      <c r="S293" s="255">
        <f>IF(S291&gt;0,R293*S291,99999999)</f>
        <v>99999999</v>
      </c>
      <c r="T293" s="262" t="str">
        <f t="shared" si="33"/>
        <v/>
      </c>
      <c r="U293" s="262" t="str">
        <f t="shared" si="32"/>
        <v/>
      </c>
    </row>
    <row r="294" spans="10:21" ht="17.25" customHeight="1" x14ac:dyDescent="0.15">
      <c r="J294" s="266"/>
      <c r="K294" s="267"/>
      <c r="L294" s="267"/>
      <c r="M294" s="268" t="s">
        <v>367</v>
      </c>
      <c r="N294" s="269" t="str">
        <f>IF(K291&amp;L291&lt;&gt;"",IF($D$22&lt;&gt;"",$D$22,""),"")</f>
        <v/>
      </c>
      <c r="O294" s="270"/>
      <c r="P294" s="271" t="str">
        <f t="shared" si="30"/>
        <v/>
      </c>
      <c r="Q294" s="272"/>
      <c r="R294" s="255">
        <f t="shared" si="34"/>
        <v>0</v>
      </c>
      <c r="S294" s="255">
        <f>IF(S291&gt;0,R294*S291,99999999)</f>
        <v>99999999</v>
      </c>
      <c r="T294" s="262" t="str">
        <f t="shared" si="33"/>
        <v/>
      </c>
      <c r="U294" s="262" t="str">
        <f t="shared" si="32"/>
        <v/>
      </c>
    </row>
    <row r="295" spans="10:21" ht="17.25" customHeight="1" x14ac:dyDescent="0.15">
      <c r="J295" s="266"/>
      <c r="K295" s="267"/>
      <c r="L295" s="267"/>
      <c r="M295" s="268" t="s">
        <v>367</v>
      </c>
      <c r="N295" s="269" t="str">
        <f>IF(K291&amp;L291&lt;&gt;"",IF($D$23&lt;&gt;"",$D$23,""),"")</f>
        <v/>
      </c>
      <c r="O295" s="270"/>
      <c r="P295" s="271" t="str">
        <f t="shared" si="30"/>
        <v/>
      </c>
      <c r="Q295" s="272"/>
      <c r="R295" s="255">
        <f t="shared" si="34"/>
        <v>0</v>
      </c>
      <c r="S295" s="255">
        <f>IF(S291&gt;0,R295*S291,99999999)</f>
        <v>99999999</v>
      </c>
      <c r="T295" s="262" t="str">
        <f t="shared" si="33"/>
        <v/>
      </c>
      <c r="U295" s="262" t="str">
        <f t="shared" si="32"/>
        <v/>
      </c>
    </row>
    <row r="296" spans="10:21" ht="17.25" customHeight="1" x14ac:dyDescent="0.15">
      <c r="J296" s="266"/>
      <c r="K296" s="267"/>
      <c r="L296" s="267"/>
      <c r="M296" s="268" t="s">
        <v>367</v>
      </c>
      <c r="N296" s="269" t="str">
        <f>IF(K291&amp;L291&lt;&gt;"",IF($D$24&lt;&gt;"",$D$24,""),"")</f>
        <v/>
      </c>
      <c r="O296" s="270"/>
      <c r="P296" s="271" t="str">
        <f t="shared" si="30"/>
        <v/>
      </c>
      <c r="Q296" s="272"/>
      <c r="R296" s="255">
        <f t="shared" si="34"/>
        <v>0</v>
      </c>
      <c r="S296" s="255">
        <f>IF(S291&gt;0,R296*S291,99999999)</f>
        <v>99999999</v>
      </c>
      <c r="T296" s="262" t="str">
        <f t="shared" si="33"/>
        <v/>
      </c>
      <c r="U296" s="262" t="str">
        <f t="shared" si="32"/>
        <v/>
      </c>
    </row>
    <row r="297" spans="10:21" ht="17.25" customHeight="1" x14ac:dyDescent="0.15">
      <c r="J297" s="266"/>
      <c r="K297" s="267"/>
      <c r="L297" s="267"/>
      <c r="M297" s="268" t="s">
        <v>367</v>
      </c>
      <c r="N297" s="269" t="str">
        <f>IF(K291&amp;L291&lt;&gt;"",IF($D$25&lt;&gt;"",$D$25,""),"")</f>
        <v/>
      </c>
      <c r="O297" s="270"/>
      <c r="P297" s="271" t="str">
        <f t="shared" si="30"/>
        <v/>
      </c>
      <c r="Q297" s="272"/>
      <c r="R297" s="255">
        <f t="shared" si="34"/>
        <v>0</v>
      </c>
      <c r="S297" s="255">
        <f>IF(S291&gt;0,R297*S291,99999999)</f>
        <v>99999999</v>
      </c>
      <c r="T297" s="262" t="str">
        <f t="shared" si="33"/>
        <v/>
      </c>
      <c r="U297" s="262" t="str">
        <f t="shared" si="32"/>
        <v/>
      </c>
    </row>
    <row r="298" spans="10:21" ht="17.25" customHeight="1" x14ac:dyDescent="0.15">
      <c r="J298" s="266"/>
      <c r="K298" s="267"/>
      <c r="L298" s="267"/>
      <c r="M298" s="268" t="s">
        <v>367</v>
      </c>
      <c r="N298" s="269" t="str">
        <f>IF(K291&amp;L291&lt;&gt;"",IF($D$26&lt;&gt;"",$D$26,""),"")</f>
        <v/>
      </c>
      <c r="O298" s="270"/>
      <c r="P298" s="271" t="str">
        <f t="shared" si="30"/>
        <v/>
      </c>
      <c r="Q298" s="272"/>
      <c r="R298" s="255">
        <f t="shared" si="34"/>
        <v>0</v>
      </c>
      <c r="S298" s="255">
        <f>IF(S291&gt;0,R298*S291,99999999)</f>
        <v>99999999</v>
      </c>
      <c r="T298" s="262" t="str">
        <f t="shared" si="33"/>
        <v/>
      </c>
      <c r="U298" s="262" t="str">
        <f t="shared" si="32"/>
        <v/>
      </c>
    </row>
    <row r="299" spans="10:21" ht="17.25" customHeight="1" x14ac:dyDescent="0.15">
      <c r="J299" s="266"/>
      <c r="K299" s="267"/>
      <c r="L299" s="267"/>
      <c r="M299" s="268" t="s">
        <v>367</v>
      </c>
      <c r="N299" s="269" t="str">
        <f>IF(K291&amp;L291&lt;&gt;"",IF($D$27&lt;&gt;"",$D$27,""),"")</f>
        <v/>
      </c>
      <c r="O299" s="270"/>
      <c r="P299" s="271" t="str">
        <f t="shared" si="30"/>
        <v/>
      </c>
      <c r="Q299" s="272"/>
      <c r="R299" s="255">
        <f t="shared" si="34"/>
        <v>0</v>
      </c>
      <c r="S299" s="255">
        <f>IF(S291&gt;0,R299*S291,99999999)</f>
        <v>99999999</v>
      </c>
      <c r="T299" s="262" t="str">
        <f t="shared" si="33"/>
        <v/>
      </c>
      <c r="U299" s="262" t="str">
        <f t="shared" si="32"/>
        <v/>
      </c>
    </row>
    <row r="300" spans="10:21" ht="17.25" customHeight="1" x14ac:dyDescent="0.15">
      <c r="J300" s="266"/>
      <c r="K300" s="267"/>
      <c r="L300" s="267"/>
      <c r="M300" s="268" t="s">
        <v>367</v>
      </c>
      <c r="N300" s="269" t="str">
        <f>IF(K291&amp;L291&lt;&gt;"",IF($D$28&lt;&gt;"",$D$28,""),"")</f>
        <v/>
      </c>
      <c r="O300" s="270"/>
      <c r="P300" s="271" t="str">
        <f t="shared" si="30"/>
        <v/>
      </c>
      <c r="Q300" s="272"/>
      <c r="R300" s="255">
        <f t="shared" si="34"/>
        <v>0</v>
      </c>
      <c r="S300" s="255">
        <f>IF(S291&gt;0,R300*S291,99999999)</f>
        <v>99999999</v>
      </c>
      <c r="T300" s="262" t="str">
        <f t="shared" si="33"/>
        <v/>
      </c>
      <c r="U300" s="262" t="str">
        <f t="shared" si="32"/>
        <v/>
      </c>
    </row>
    <row r="301" spans="10:21" ht="17.25" customHeight="1" x14ac:dyDescent="0.15">
      <c r="J301" s="266"/>
      <c r="K301" s="267"/>
      <c r="L301" s="267"/>
      <c r="M301" s="268" t="s">
        <v>367</v>
      </c>
      <c r="N301" s="269" t="str">
        <f>IF(K291&amp;L291&lt;&gt;"",IF($D$29&lt;&gt;"",$D$29,""),"")</f>
        <v/>
      </c>
      <c r="O301" s="270"/>
      <c r="P301" s="271" t="str">
        <f t="shared" si="30"/>
        <v/>
      </c>
      <c r="Q301" s="272"/>
      <c r="R301" s="255">
        <f t="shared" si="34"/>
        <v>0</v>
      </c>
      <c r="S301" s="255">
        <f>IF(S291&gt;0,R301*S291,99999999)</f>
        <v>99999999</v>
      </c>
      <c r="T301" s="262" t="str">
        <f t="shared" si="33"/>
        <v/>
      </c>
      <c r="U301" s="262" t="str">
        <f t="shared" si="32"/>
        <v/>
      </c>
    </row>
    <row r="302" spans="10:21" ht="17.25" hidden="1" customHeight="1" outlineLevel="1" x14ac:dyDescent="0.15">
      <c r="J302" s="266"/>
      <c r="K302" s="267"/>
      <c r="L302" s="267"/>
      <c r="M302" s="268" t="s">
        <v>367</v>
      </c>
      <c r="N302" s="269" t="str">
        <f>IF(K291&amp;L291&lt;&gt;"",IF($D$30&lt;&gt;"",$D$30,""),"")</f>
        <v/>
      </c>
      <c r="O302" s="270"/>
      <c r="P302" s="271" t="str">
        <f t="shared" si="30"/>
        <v/>
      </c>
      <c r="Q302" s="272"/>
      <c r="R302" s="255">
        <f>IF(N302&lt;&gt;"",VLOOKUP(N302,$D$19:$E$34,2,FALSE),0)</f>
        <v>0</v>
      </c>
      <c r="S302" s="255">
        <f>IF(S291&gt;0,R302*S291,99999999)</f>
        <v>99999999</v>
      </c>
      <c r="T302" s="262" t="str">
        <f t="shared" si="33"/>
        <v/>
      </c>
      <c r="U302" s="262" t="str">
        <f t="shared" si="32"/>
        <v/>
      </c>
    </row>
    <row r="303" spans="10:21" ht="17.25" hidden="1" customHeight="1" outlineLevel="1" x14ac:dyDescent="0.15">
      <c r="J303" s="266"/>
      <c r="K303" s="267"/>
      <c r="L303" s="267"/>
      <c r="M303" s="268" t="s">
        <v>367</v>
      </c>
      <c r="N303" s="269" t="str">
        <f>IF(K291&amp;L291&lt;&gt;"",IF($D$31&lt;&gt;"",$D$31,""),"")</f>
        <v/>
      </c>
      <c r="O303" s="270"/>
      <c r="P303" s="271" t="str">
        <f t="shared" si="30"/>
        <v/>
      </c>
      <c r="Q303" s="272"/>
      <c r="R303" s="255">
        <f>IF(N303&lt;&gt;"",VLOOKUP(N303,$D$19:$E$34,2,FALSE),0)</f>
        <v>0</v>
      </c>
      <c r="S303" s="255">
        <f>IF(S291&gt;0,R303*S291,99999999)</f>
        <v>99999999</v>
      </c>
      <c r="T303" s="262" t="str">
        <f t="shared" si="33"/>
        <v/>
      </c>
      <c r="U303" s="262" t="str">
        <f t="shared" si="32"/>
        <v/>
      </c>
    </row>
    <row r="304" spans="10:21" ht="17.25" hidden="1" customHeight="1" outlineLevel="1" x14ac:dyDescent="0.15">
      <c r="J304" s="266"/>
      <c r="K304" s="267"/>
      <c r="L304" s="267"/>
      <c r="M304" s="268" t="s">
        <v>367</v>
      </c>
      <c r="N304" s="269" t="str">
        <f>IF(K291&amp;L291&lt;&gt;"",IF($D$32&lt;&gt;"",$D$32,""),"")</f>
        <v/>
      </c>
      <c r="O304" s="270"/>
      <c r="P304" s="271" t="str">
        <f t="shared" si="30"/>
        <v/>
      </c>
      <c r="Q304" s="272"/>
      <c r="R304" s="255">
        <f>IF(N304&lt;&gt;"",VLOOKUP(N304,$D$19:$E$34,2,FALSE),0)</f>
        <v>0</v>
      </c>
      <c r="S304" s="255">
        <f>IF(S291&gt;0,R304*S291,99999999)</f>
        <v>99999999</v>
      </c>
      <c r="T304" s="262" t="str">
        <f t="shared" si="33"/>
        <v/>
      </c>
      <c r="U304" s="262" t="str">
        <f t="shared" si="32"/>
        <v/>
      </c>
    </row>
    <row r="305" spans="10:21" ht="17.25" hidden="1" customHeight="1" outlineLevel="1" x14ac:dyDescent="0.15">
      <c r="J305" s="266"/>
      <c r="K305" s="267"/>
      <c r="L305" s="267"/>
      <c r="M305" s="268" t="s">
        <v>367</v>
      </c>
      <c r="N305" s="269" t="str">
        <f>IF(K291&amp;L291&lt;&gt;"",IF($D$33&lt;&gt;"",$D$33,""),"")</f>
        <v/>
      </c>
      <c r="O305" s="270"/>
      <c r="P305" s="271" t="str">
        <f t="shared" si="30"/>
        <v/>
      </c>
      <c r="Q305" s="272"/>
      <c r="R305" s="255">
        <f>IF(N305&lt;&gt;"",VLOOKUP(N305,$D$19:$E$34,2,FALSE),0)</f>
        <v>0</v>
      </c>
      <c r="S305" s="255">
        <f>IF(S291&gt;0,R305*S291,99999999)</f>
        <v>99999999</v>
      </c>
      <c r="T305" s="262" t="str">
        <f t="shared" si="33"/>
        <v/>
      </c>
      <c r="U305" s="262" t="str">
        <f t="shared" si="32"/>
        <v/>
      </c>
    </row>
    <row r="306" spans="10:21" ht="17.25" hidden="1" customHeight="1" outlineLevel="1" x14ac:dyDescent="0.15">
      <c r="J306" s="279"/>
      <c r="K306" s="280"/>
      <c r="L306" s="280"/>
      <c r="M306" s="281" t="s">
        <v>367</v>
      </c>
      <c r="N306" s="278" t="str">
        <f>IF(K291&amp;L291&lt;&gt;"",IF($D$34&lt;&gt;"",$D$34,""),"")</f>
        <v/>
      </c>
      <c r="O306" s="282"/>
      <c r="P306" s="271" t="str">
        <f t="shared" si="30"/>
        <v/>
      </c>
      <c r="Q306" s="283"/>
      <c r="R306" s="255">
        <f>IF(N306&lt;&gt;"",VLOOKUP(N306,$D$19:$E$34,2,FALSE),0)</f>
        <v>0</v>
      </c>
      <c r="S306" s="255">
        <f>IF(S291&gt;0,R306*S291,99999999)</f>
        <v>99999999</v>
      </c>
      <c r="T306" s="262" t="str">
        <f t="shared" si="33"/>
        <v/>
      </c>
      <c r="U306" s="262" t="str">
        <f t="shared" si="32"/>
        <v/>
      </c>
    </row>
    <row r="307" spans="10:21" ht="17.25" customHeight="1" collapsed="1" x14ac:dyDescent="0.15">
      <c r="J307" s="256">
        <v>19</v>
      </c>
      <c r="K307" s="257"/>
      <c r="L307" s="257"/>
      <c r="M307" s="258" t="s">
        <v>366</v>
      </c>
      <c r="N307" s="259" t="str">
        <f>IF(K307&amp;L307&lt;&gt;"",IF($D$19&lt;&gt;"",$D$19,""),"")</f>
        <v/>
      </c>
      <c r="O307" s="257"/>
      <c r="P307" s="260" t="str">
        <f t="shared" si="30"/>
        <v/>
      </c>
      <c r="Q307" s="261"/>
      <c r="R307" s="255">
        <f t="shared" ref="R307:R317" si="35">IF(N307&lt;&gt;"",VLOOKUP(N307,$D$19:$E$29,2,FALSE),0)</f>
        <v>0</v>
      </c>
      <c r="S307" s="255">
        <f>IF($E$19&gt;0,IF(MOD(O307,$E$19)=0,O307/$E$19,-1),-1)</f>
        <v>-1</v>
      </c>
      <c r="T307" s="262" t="str">
        <f>IF(N307&lt;&gt;"",IF(O307&lt;&gt;"",IF(S307&gt;0,"OK","数量が不足しています"),"数量が未入力です"),"")</f>
        <v/>
      </c>
      <c r="U307" s="262" t="str">
        <f t="shared" si="32"/>
        <v/>
      </c>
    </row>
    <row r="308" spans="10:21" ht="17.25" customHeight="1" x14ac:dyDescent="0.15">
      <c r="J308" s="266"/>
      <c r="K308" s="267"/>
      <c r="L308" s="267"/>
      <c r="M308" s="268" t="s">
        <v>367</v>
      </c>
      <c r="N308" s="269" t="str">
        <f>IF(K307&amp;L307&lt;&gt;"",IF($D$20&lt;&gt;"",$D$20,""),"")</f>
        <v/>
      </c>
      <c r="O308" s="270"/>
      <c r="P308" s="271" t="str">
        <f t="shared" si="30"/>
        <v/>
      </c>
      <c r="Q308" s="272"/>
      <c r="R308" s="255">
        <f t="shared" si="35"/>
        <v>0</v>
      </c>
      <c r="S308" s="255">
        <f>IF(S307&gt;0,R308*S307,99999999)</f>
        <v>99999999</v>
      </c>
      <c r="T308" s="262" t="str">
        <f t="shared" si="33"/>
        <v/>
      </c>
      <c r="U308" s="262" t="str">
        <f t="shared" si="32"/>
        <v/>
      </c>
    </row>
    <row r="309" spans="10:21" ht="17.25" customHeight="1" x14ac:dyDescent="0.15">
      <c r="J309" s="266"/>
      <c r="K309" s="267"/>
      <c r="L309" s="267"/>
      <c r="M309" s="268" t="s">
        <v>367</v>
      </c>
      <c r="N309" s="269" t="str">
        <f>IF(K307&amp;L307&lt;&gt;"",IF($D$21&lt;&gt;"",$D$21,""),"")</f>
        <v/>
      </c>
      <c r="O309" s="270"/>
      <c r="P309" s="271" t="str">
        <f t="shared" si="30"/>
        <v/>
      </c>
      <c r="Q309" s="272"/>
      <c r="R309" s="255">
        <f t="shared" si="35"/>
        <v>0</v>
      </c>
      <c r="S309" s="255">
        <f>IF(S307&gt;0,R309*S307,99999999)</f>
        <v>99999999</v>
      </c>
      <c r="T309" s="262" t="str">
        <f t="shared" si="33"/>
        <v/>
      </c>
      <c r="U309" s="262" t="str">
        <f t="shared" si="32"/>
        <v/>
      </c>
    </row>
    <row r="310" spans="10:21" ht="17.25" customHeight="1" x14ac:dyDescent="0.15">
      <c r="J310" s="266"/>
      <c r="K310" s="267"/>
      <c r="L310" s="267"/>
      <c r="M310" s="268" t="s">
        <v>367</v>
      </c>
      <c r="N310" s="269" t="str">
        <f>IF(K307&amp;L307&lt;&gt;"",IF($D$22&lt;&gt;"",$D$22,""),"")</f>
        <v/>
      </c>
      <c r="O310" s="270"/>
      <c r="P310" s="271" t="str">
        <f t="shared" si="30"/>
        <v/>
      </c>
      <c r="Q310" s="272"/>
      <c r="R310" s="255">
        <f t="shared" si="35"/>
        <v>0</v>
      </c>
      <c r="S310" s="255">
        <f>IF(S307&gt;0,R310*S307,99999999)</f>
        <v>99999999</v>
      </c>
      <c r="T310" s="262" t="str">
        <f t="shared" si="33"/>
        <v/>
      </c>
      <c r="U310" s="262" t="str">
        <f t="shared" si="32"/>
        <v/>
      </c>
    </row>
    <row r="311" spans="10:21" ht="17.25" customHeight="1" x14ac:dyDescent="0.15">
      <c r="J311" s="266"/>
      <c r="K311" s="267"/>
      <c r="L311" s="267"/>
      <c r="M311" s="268" t="s">
        <v>367</v>
      </c>
      <c r="N311" s="269" t="str">
        <f>IF(K307&amp;L307&lt;&gt;"",IF($D$23&lt;&gt;"",$D$23,""),"")</f>
        <v/>
      </c>
      <c r="O311" s="270"/>
      <c r="P311" s="271" t="str">
        <f t="shared" si="30"/>
        <v/>
      </c>
      <c r="Q311" s="272"/>
      <c r="R311" s="255">
        <f t="shared" si="35"/>
        <v>0</v>
      </c>
      <c r="S311" s="255">
        <f>IF(S307&gt;0,R311*S307,99999999)</f>
        <v>99999999</v>
      </c>
      <c r="T311" s="262" t="str">
        <f t="shared" si="33"/>
        <v/>
      </c>
      <c r="U311" s="262" t="str">
        <f t="shared" si="32"/>
        <v/>
      </c>
    </row>
    <row r="312" spans="10:21" ht="17.25" customHeight="1" x14ac:dyDescent="0.15">
      <c r="J312" s="266"/>
      <c r="K312" s="267"/>
      <c r="L312" s="267"/>
      <c r="M312" s="268" t="s">
        <v>367</v>
      </c>
      <c r="N312" s="269" t="str">
        <f>IF(K307&amp;L307&lt;&gt;"",IF($D$24&lt;&gt;"",$D$24,""),"")</f>
        <v/>
      </c>
      <c r="O312" s="270"/>
      <c r="P312" s="271" t="str">
        <f t="shared" si="30"/>
        <v/>
      </c>
      <c r="Q312" s="272"/>
      <c r="R312" s="255">
        <f t="shared" si="35"/>
        <v>0</v>
      </c>
      <c r="S312" s="255">
        <f>IF(S307&gt;0,R312*S307,99999999)</f>
        <v>99999999</v>
      </c>
      <c r="T312" s="262" t="str">
        <f t="shared" si="33"/>
        <v/>
      </c>
      <c r="U312" s="262" t="str">
        <f t="shared" si="32"/>
        <v/>
      </c>
    </row>
    <row r="313" spans="10:21" ht="17.25" customHeight="1" x14ac:dyDescent="0.15">
      <c r="J313" s="266"/>
      <c r="K313" s="267"/>
      <c r="L313" s="267"/>
      <c r="M313" s="268" t="s">
        <v>367</v>
      </c>
      <c r="N313" s="269" t="str">
        <f>IF(K307&amp;L307&lt;&gt;"",IF($D$25&lt;&gt;"",$D$25,""),"")</f>
        <v/>
      </c>
      <c r="O313" s="270"/>
      <c r="P313" s="271" t="str">
        <f t="shared" si="30"/>
        <v/>
      </c>
      <c r="Q313" s="272"/>
      <c r="R313" s="255">
        <f t="shared" si="35"/>
        <v>0</v>
      </c>
      <c r="S313" s="255">
        <f>IF(S307&gt;0,R313*S307,99999999)</f>
        <v>99999999</v>
      </c>
      <c r="T313" s="262" t="str">
        <f t="shared" si="33"/>
        <v/>
      </c>
      <c r="U313" s="262" t="str">
        <f t="shared" si="32"/>
        <v/>
      </c>
    </row>
    <row r="314" spans="10:21" ht="17.25" customHeight="1" x14ac:dyDescent="0.15">
      <c r="J314" s="266"/>
      <c r="K314" s="267"/>
      <c r="L314" s="267"/>
      <c r="M314" s="268" t="s">
        <v>367</v>
      </c>
      <c r="N314" s="269" t="str">
        <f>IF(K307&amp;L307&lt;&gt;"",IF($D$26&lt;&gt;"",$D$26,""),"")</f>
        <v/>
      </c>
      <c r="O314" s="270"/>
      <c r="P314" s="271" t="str">
        <f t="shared" si="30"/>
        <v/>
      </c>
      <c r="Q314" s="272"/>
      <c r="R314" s="255">
        <f t="shared" si="35"/>
        <v>0</v>
      </c>
      <c r="S314" s="255">
        <f>IF(S307&gt;0,R314*S307,99999999)</f>
        <v>99999999</v>
      </c>
      <c r="T314" s="262" t="str">
        <f t="shared" si="33"/>
        <v/>
      </c>
      <c r="U314" s="262" t="str">
        <f t="shared" si="32"/>
        <v/>
      </c>
    </row>
    <row r="315" spans="10:21" ht="17.25" customHeight="1" x14ac:dyDescent="0.15">
      <c r="J315" s="266"/>
      <c r="K315" s="267"/>
      <c r="L315" s="267"/>
      <c r="M315" s="268" t="s">
        <v>367</v>
      </c>
      <c r="N315" s="269" t="str">
        <f>IF(K307&amp;L307&lt;&gt;"",IF($D$27&lt;&gt;"",$D$27,""),"")</f>
        <v/>
      </c>
      <c r="O315" s="270"/>
      <c r="P315" s="271" t="str">
        <f t="shared" si="30"/>
        <v/>
      </c>
      <c r="Q315" s="272"/>
      <c r="R315" s="255">
        <f t="shared" si="35"/>
        <v>0</v>
      </c>
      <c r="S315" s="255">
        <f>IF(S307&gt;0,R315*S307,99999999)</f>
        <v>99999999</v>
      </c>
      <c r="T315" s="262" t="str">
        <f t="shared" si="33"/>
        <v/>
      </c>
      <c r="U315" s="262" t="str">
        <f t="shared" si="32"/>
        <v/>
      </c>
    </row>
    <row r="316" spans="10:21" ht="17.25" customHeight="1" x14ac:dyDescent="0.15">
      <c r="J316" s="266"/>
      <c r="K316" s="267"/>
      <c r="L316" s="267"/>
      <c r="M316" s="268" t="s">
        <v>367</v>
      </c>
      <c r="N316" s="269" t="str">
        <f>IF(K307&amp;L307&lt;&gt;"",IF($D$28&lt;&gt;"",$D$28,""),"")</f>
        <v/>
      </c>
      <c r="O316" s="270"/>
      <c r="P316" s="271" t="str">
        <f t="shared" si="30"/>
        <v/>
      </c>
      <c r="Q316" s="272"/>
      <c r="R316" s="255">
        <f t="shared" si="35"/>
        <v>0</v>
      </c>
      <c r="S316" s="255">
        <f>IF(S307&gt;0,R316*S307,99999999)</f>
        <v>99999999</v>
      </c>
      <c r="T316" s="262" t="str">
        <f t="shared" si="33"/>
        <v/>
      </c>
      <c r="U316" s="262" t="str">
        <f t="shared" si="32"/>
        <v/>
      </c>
    </row>
    <row r="317" spans="10:21" ht="17.25" customHeight="1" x14ac:dyDescent="0.15">
      <c r="J317" s="266"/>
      <c r="K317" s="267"/>
      <c r="L317" s="267"/>
      <c r="M317" s="268" t="s">
        <v>367</v>
      </c>
      <c r="N317" s="269" t="str">
        <f>IF(K307&amp;L307&lt;&gt;"",IF($D$29&lt;&gt;"",$D$29,""),"")</f>
        <v/>
      </c>
      <c r="O317" s="270"/>
      <c r="P317" s="271" t="str">
        <f t="shared" si="30"/>
        <v/>
      </c>
      <c r="Q317" s="272"/>
      <c r="R317" s="255">
        <f t="shared" si="35"/>
        <v>0</v>
      </c>
      <c r="S317" s="255">
        <f>IF(S307&gt;0,R317*S307,99999999)</f>
        <v>99999999</v>
      </c>
      <c r="T317" s="262" t="str">
        <f t="shared" si="33"/>
        <v/>
      </c>
      <c r="U317" s="262" t="str">
        <f t="shared" si="32"/>
        <v/>
      </c>
    </row>
    <row r="318" spans="10:21" ht="17.25" hidden="1" customHeight="1" outlineLevel="1" x14ac:dyDescent="0.15">
      <c r="J318" s="266"/>
      <c r="K318" s="267"/>
      <c r="L318" s="267"/>
      <c r="M318" s="268" t="s">
        <v>367</v>
      </c>
      <c r="N318" s="269" t="str">
        <f>IF(K307&amp;L307&lt;&gt;"",IF($D$30&lt;&gt;"",$D$30,""),"")</f>
        <v/>
      </c>
      <c r="O318" s="270"/>
      <c r="P318" s="271" t="str">
        <f t="shared" si="30"/>
        <v/>
      </c>
      <c r="Q318" s="272"/>
      <c r="R318" s="255">
        <f>IF(N318&lt;&gt;"",VLOOKUP(N318,$D$19:$E$34,2,FALSE),0)</f>
        <v>0</v>
      </c>
      <c r="S318" s="255">
        <f>IF(S307&gt;0,R318*S307,99999999)</f>
        <v>99999999</v>
      </c>
      <c r="T318" s="262" t="str">
        <f t="shared" si="33"/>
        <v/>
      </c>
      <c r="U318" s="262" t="str">
        <f t="shared" si="32"/>
        <v/>
      </c>
    </row>
    <row r="319" spans="10:21" ht="17.25" hidden="1" customHeight="1" outlineLevel="1" x14ac:dyDescent="0.15">
      <c r="J319" s="266"/>
      <c r="K319" s="267"/>
      <c r="L319" s="267"/>
      <c r="M319" s="268" t="s">
        <v>367</v>
      </c>
      <c r="N319" s="269" t="str">
        <f>IF(K307&amp;L307&lt;&gt;"",IF($D$31&lt;&gt;"",$D$31,""),"")</f>
        <v/>
      </c>
      <c r="O319" s="270"/>
      <c r="P319" s="271" t="str">
        <f t="shared" si="30"/>
        <v/>
      </c>
      <c r="Q319" s="272"/>
      <c r="R319" s="255">
        <f>IF(N319&lt;&gt;"",VLOOKUP(N319,$D$19:$E$34,2,FALSE),0)</f>
        <v>0</v>
      </c>
      <c r="S319" s="255">
        <f>IF(S307&gt;0,R319*S307,99999999)</f>
        <v>99999999</v>
      </c>
      <c r="T319" s="262" t="str">
        <f t="shared" si="33"/>
        <v/>
      </c>
      <c r="U319" s="262" t="str">
        <f t="shared" si="32"/>
        <v/>
      </c>
    </row>
    <row r="320" spans="10:21" ht="17.25" hidden="1" customHeight="1" outlineLevel="1" x14ac:dyDescent="0.15">
      <c r="J320" s="266"/>
      <c r="K320" s="267"/>
      <c r="L320" s="267"/>
      <c r="M320" s="268" t="s">
        <v>367</v>
      </c>
      <c r="N320" s="269" t="str">
        <f>IF(K307&amp;L307&lt;&gt;"",IF($D$32&lt;&gt;"",$D$32,""),"")</f>
        <v/>
      </c>
      <c r="O320" s="270"/>
      <c r="P320" s="271" t="str">
        <f t="shared" si="30"/>
        <v/>
      </c>
      <c r="Q320" s="272"/>
      <c r="R320" s="255">
        <f>IF(N320&lt;&gt;"",VLOOKUP(N320,$D$19:$E$34,2,FALSE),0)</f>
        <v>0</v>
      </c>
      <c r="S320" s="255">
        <f>IF(S307&gt;0,R320*S307,99999999)</f>
        <v>99999999</v>
      </c>
      <c r="T320" s="262" t="str">
        <f t="shared" si="33"/>
        <v/>
      </c>
      <c r="U320" s="262" t="str">
        <f t="shared" si="32"/>
        <v/>
      </c>
    </row>
    <row r="321" spans="10:21" ht="17.25" hidden="1" customHeight="1" outlineLevel="1" x14ac:dyDescent="0.15">
      <c r="J321" s="266"/>
      <c r="K321" s="267"/>
      <c r="L321" s="267"/>
      <c r="M321" s="268" t="s">
        <v>367</v>
      </c>
      <c r="N321" s="269" t="str">
        <f>IF(K307&amp;L307&lt;&gt;"",IF($D$33&lt;&gt;"",$D$33,""),"")</f>
        <v/>
      </c>
      <c r="O321" s="270"/>
      <c r="P321" s="271" t="str">
        <f t="shared" si="30"/>
        <v/>
      </c>
      <c r="Q321" s="272"/>
      <c r="R321" s="255">
        <f>IF(N321&lt;&gt;"",VLOOKUP(N321,$D$19:$E$34,2,FALSE),0)</f>
        <v>0</v>
      </c>
      <c r="S321" s="255">
        <f>IF(S307&gt;0,R321*S307,99999999)</f>
        <v>99999999</v>
      </c>
      <c r="T321" s="262" t="str">
        <f t="shared" si="33"/>
        <v/>
      </c>
      <c r="U321" s="262" t="str">
        <f t="shared" si="32"/>
        <v/>
      </c>
    </row>
    <row r="322" spans="10:21" ht="17.25" hidden="1" customHeight="1" outlineLevel="1" x14ac:dyDescent="0.15">
      <c r="J322" s="279"/>
      <c r="K322" s="280"/>
      <c r="L322" s="280"/>
      <c r="M322" s="281" t="s">
        <v>367</v>
      </c>
      <c r="N322" s="278" t="str">
        <f>IF(K307&amp;L307&lt;&gt;"",IF($D$34&lt;&gt;"",$D$34,""),"")</f>
        <v/>
      </c>
      <c r="O322" s="282"/>
      <c r="P322" s="271" t="str">
        <f t="shared" si="30"/>
        <v/>
      </c>
      <c r="Q322" s="283"/>
      <c r="R322" s="255">
        <f>IF(N322&lt;&gt;"",VLOOKUP(N322,$D$19:$E$34,2,FALSE),0)</f>
        <v>0</v>
      </c>
      <c r="S322" s="255">
        <f>IF(S307&gt;0,R322*S307,99999999)</f>
        <v>99999999</v>
      </c>
      <c r="T322" s="262" t="str">
        <f t="shared" si="33"/>
        <v/>
      </c>
      <c r="U322" s="262" t="str">
        <f t="shared" si="32"/>
        <v/>
      </c>
    </row>
    <row r="323" spans="10:21" ht="17.25" customHeight="1" collapsed="1" x14ac:dyDescent="0.15">
      <c r="J323" s="256">
        <v>20</v>
      </c>
      <c r="K323" s="257"/>
      <c r="L323" s="257"/>
      <c r="M323" s="258" t="s">
        <v>366</v>
      </c>
      <c r="N323" s="259" t="str">
        <f>IF(K323&amp;L323&lt;&gt;"",IF($D$19&lt;&gt;"",$D$19,""),"")</f>
        <v/>
      </c>
      <c r="O323" s="257"/>
      <c r="P323" s="260" t="str">
        <f t="shared" si="30"/>
        <v/>
      </c>
      <c r="Q323" s="261"/>
      <c r="R323" s="255">
        <f t="shared" ref="R323:R333" si="36">IF(N323&lt;&gt;"",VLOOKUP(N323,$D$19:$E$29,2,FALSE),0)</f>
        <v>0</v>
      </c>
      <c r="S323" s="255">
        <f>IF($E$19&gt;0,IF(MOD(O323,$E$19)=0,O323/$E$19,-1),-1)</f>
        <v>-1</v>
      </c>
      <c r="T323" s="262" t="str">
        <f>IF(N323&lt;&gt;"",IF(O323&lt;&gt;"",IF(S323&gt;0,"OK","数量が不足しています"),"数量が未入力です"),"")</f>
        <v/>
      </c>
      <c r="U323" s="262" t="str">
        <f t="shared" si="32"/>
        <v/>
      </c>
    </row>
    <row r="324" spans="10:21" ht="17.25" customHeight="1" x14ac:dyDescent="0.15">
      <c r="J324" s="266"/>
      <c r="K324" s="267"/>
      <c r="L324" s="267"/>
      <c r="M324" s="268" t="s">
        <v>367</v>
      </c>
      <c r="N324" s="269" t="str">
        <f>IF(K323&amp;L323&lt;&gt;"",IF($D$20&lt;&gt;"",$D$20,""),"")</f>
        <v/>
      </c>
      <c r="O324" s="270"/>
      <c r="P324" s="271" t="str">
        <f t="shared" si="30"/>
        <v/>
      </c>
      <c r="Q324" s="272"/>
      <c r="R324" s="255">
        <f t="shared" si="36"/>
        <v>0</v>
      </c>
      <c r="S324" s="255">
        <f>IF(S323&gt;0,R324*S323,99999999)</f>
        <v>99999999</v>
      </c>
      <c r="T324" s="262" t="str">
        <f t="shared" si="33"/>
        <v/>
      </c>
      <c r="U324" s="262" t="str">
        <f t="shared" si="32"/>
        <v/>
      </c>
    </row>
    <row r="325" spans="10:21" ht="17.25" customHeight="1" x14ac:dyDescent="0.15">
      <c r="J325" s="266"/>
      <c r="K325" s="267"/>
      <c r="L325" s="267"/>
      <c r="M325" s="268" t="s">
        <v>367</v>
      </c>
      <c r="N325" s="269" t="str">
        <f>IF(K323&amp;L323&lt;&gt;"",IF($D$21&lt;&gt;"",$D$21,""),"")</f>
        <v/>
      </c>
      <c r="O325" s="270"/>
      <c r="P325" s="271" t="str">
        <f t="shared" si="30"/>
        <v/>
      </c>
      <c r="Q325" s="272"/>
      <c r="R325" s="255">
        <f t="shared" si="36"/>
        <v>0</v>
      </c>
      <c r="S325" s="255">
        <f>IF(S323&gt;0,R325*S323,99999999)</f>
        <v>99999999</v>
      </c>
      <c r="T325" s="262" t="str">
        <f t="shared" si="33"/>
        <v/>
      </c>
      <c r="U325" s="262" t="str">
        <f t="shared" si="32"/>
        <v/>
      </c>
    </row>
    <row r="326" spans="10:21" ht="17.25" customHeight="1" x14ac:dyDescent="0.15">
      <c r="J326" s="266"/>
      <c r="K326" s="267"/>
      <c r="L326" s="267"/>
      <c r="M326" s="268" t="s">
        <v>367</v>
      </c>
      <c r="N326" s="269" t="str">
        <f>IF(K323&amp;L323&lt;&gt;"",IF($D$22&lt;&gt;"",$D$22,""),"")</f>
        <v/>
      </c>
      <c r="O326" s="270"/>
      <c r="P326" s="271" t="str">
        <f t="shared" si="30"/>
        <v/>
      </c>
      <c r="Q326" s="272"/>
      <c r="R326" s="255">
        <f t="shared" si="36"/>
        <v>0</v>
      </c>
      <c r="S326" s="255">
        <f>IF(S323&gt;0,R326*S323,99999999)</f>
        <v>99999999</v>
      </c>
      <c r="T326" s="262" t="str">
        <f t="shared" si="33"/>
        <v/>
      </c>
      <c r="U326" s="262" t="str">
        <f t="shared" si="32"/>
        <v/>
      </c>
    </row>
    <row r="327" spans="10:21" ht="17.25" customHeight="1" x14ac:dyDescent="0.15">
      <c r="J327" s="266"/>
      <c r="K327" s="267"/>
      <c r="L327" s="267"/>
      <c r="M327" s="268" t="s">
        <v>367</v>
      </c>
      <c r="N327" s="269" t="str">
        <f>IF(K323&amp;L323&lt;&gt;"",IF($D$23&lt;&gt;"",$D$23,""),"")</f>
        <v/>
      </c>
      <c r="O327" s="270"/>
      <c r="P327" s="271" t="str">
        <f t="shared" si="30"/>
        <v/>
      </c>
      <c r="Q327" s="272"/>
      <c r="R327" s="255">
        <f t="shared" si="36"/>
        <v>0</v>
      </c>
      <c r="S327" s="255">
        <f>IF(S323&gt;0,R327*S323,99999999)</f>
        <v>99999999</v>
      </c>
      <c r="T327" s="262" t="str">
        <f t="shared" si="33"/>
        <v/>
      </c>
      <c r="U327" s="262" t="str">
        <f t="shared" si="32"/>
        <v/>
      </c>
    </row>
    <row r="328" spans="10:21" ht="17.25" customHeight="1" x14ac:dyDescent="0.15">
      <c r="J328" s="266"/>
      <c r="K328" s="267"/>
      <c r="L328" s="267"/>
      <c r="M328" s="268" t="s">
        <v>367</v>
      </c>
      <c r="N328" s="269" t="str">
        <f>IF(K323&amp;L323&lt;&gt;"",IF($D$24&lt;&gt;"",$D$24,""),"")</f>
        <v/>
      </c>
      <c r="O328" s="270"/>
      <c r="P328" s="271" t="str">
        <f t="shared" si="30"/>
        <v/>
      </c>
      <c r="Q328" s="272"/>
      <c r="R328" s="255">
        <f t="shared" si="36"/>
        <v>0</v>
      </c>
      <c r="S328" s="255">
        <f>IF(S323&gt;0,R328*S323,99999999)</f>
        <v>99999999</v>
      </c>
      <c r="T328" s="262" t="str">
        <f t="shared" si="33"/>
        <v/>
      </c>
      <c r="U328" s="262" t="str">
        <f t="shared" si="32"/>
        <v/>
      </c>
    </row>
    <row r="329" spans="10:21" ht="17.25" customHeight="1" x14ac:dyDescent="0.15">
      <c r="J329" s="266"/>
      <c r="K329" s="267"/>
      <c r="L329" s="267"/>
      <c r="M329" s="268" t="s">
        <v>367</v>
      </c>
      <c r="N329" s="269" t="str">
        <f>IF(K323&amp;L323&lt;&gt;"",IF($D$25&lt;&gt;"",$D$25,""),"")</f>
        <v/>
      </c>
      <c r="O329" s="270"/>
      <c r="P329" s="271" t="str">
        <f t="shared" si="30"/>
        <v/>
      </c>
      <c r="Q329" s="272"/>
      <c r="R329" s="255">
        <f t="shared" si="36"/>
        <v>0</v>
      </c>
      <c r="S329" s="255">
        <f>IF(S323&gt;0,R329*S323,99999999)</f>
        <v>99999999</v>
      </c>
      <c r="T329" s="262" t="str">
        <f t="shared" si="33"/>
        <v/>
      </c>
      <c r="U329" s="262" t="str">
        <f t="shared" si="32"/>
        <v/>
      </c>
    </row>
    <row r="330" spans="10:21" ht="17.25" customHeight="1" x14ac:dyDescent="0.15">
      <c r="J330" s="266"/>
      <c r="K330" s="267"/>
      <c r="L330" s="267"/>
      <c r="M330" s="268" t="s">
        <v>367</v>
      </c>
      <c r="N330" s="269" t="str">
        <f>IF(K323&amp;L323&lt;&gt;"",IF($D$26&lt;&gt;"",$D$26,""),"")</f>
        <v/>
      </c>
      <c r="O330" s="270"/>
      <c r="P330" s="271" t="str">
        <f t="shared" si="30"/>
        <v/>
      </c>
      <c r="Q330" s="272"/>
      <c r="R330" s="255">
        <f t="shared" si="36"/>
        <v>0</v>
      </c>
      <c r="S330" s="255">
        <f>IF(S323&gt;0,R330*S323,99999999)</f>
        <v>99999999</v>
      </c>
      <c r="T330" s="262" t="str">
        <f t="shared" si="33"/>
        <v/>
      </c>
      <c r="U330" s="262" t="str">
        <f t="shared" si="32"/>
        <v/>
      </c>
    </row>
    <row r="331" spans="10:21" ht="17.25" customHeight="1" x14ac:dyDescent="0.15">
      <c r="J331" s="266"/>
      <c r="K331" s="267"/>
      <c r="L331" s="267"/>
      <c r="M331" s="268" t="s">
        <v>367</v>
      </c>
      <c r="N331" s="269" t="str">
        <f>IF(K323&amp;L323&lt;&gt;"",IF($D$27&lt;&gt;"",$D$27,""),"")</f>
        <v/>
      </c>
      <c r="O331" s="270"/>
      <c r="P331" s="271" t="str">
        <f t="shared" si="30"/>
        <v/>
      </c>
      <c r="Q331" s="272"/>
      <c r="R331" s="255">
        <f t="shared" si="36"/>
        <v>0</v>
      </c>
      <c r="S331" s="255">
        <f>IF(S323&gt;0,R331*S323,99999999)</f>
        <v>99999999</v>
      </c>
      <c r="T331" s="262" t="str">
        <f t="shared" si="33"/>
        <v/>
      </c>
      <c r="U331" s="262" t="str">
        <f t="shared" si="32"/>
        <v/>
      </c>
    </row>
    <row r="332" spans="10:21" ht="17.25" customHeight="1" x14ac:dyDescent="0.15">
      <c r="J332" s="266"/>
      <c r="K332" s="267"/>
      <c r="L332" s="267"/>
      <c r="M332" s="268" t="s">
        <v>367</v>
      </c>
      <c r="N332" s="269" t="str">
        <f>IF(K323&amp;L323&lt;&gt;"",IF($D$28&lt;&gt;"",$D$28,""),"")</f>
        <v/>
      </c>
      <c r="O332" s="270"/>
      <c r="P332" s="271" t="str">
        <f t="shared" si="30"/>
        <v/>
      </c>
      <c r="Q332" s="272"/>
      <c r="R332" s="255">
        <f t="shared" si="36"/>
        <v>0</v>
      </c>
      <c r="S332" s="255">
        <f>IF(S323&gt;0,R332*S323,99999999)</f>
        <v>99999999</v>
      </c>
      <c r="T332" s="262" t="str">
        <f t="shared" si="33"/>
        <v/>
      </c>
      <c r="U332" s="262" t="str">
        <f t="shared" si="32"/>
        <v/>
      </c>
    </row>
    <row r="333" spans="10:21" ht="17.25" customHeight="1" x14ac:dyDescent="0.15">
      <c r="J333" s="266"/>
      <c r="K333" s="267"/>
      <c r="L333" s="267"/>
      <c r="M333" s="268" t="s">
        <v>367</v>
      </c>
      <c r="N333" s="269" t="str">
        <f>IF(K323&amp;L323&lt;&gt;"",IF($D$29&lt;&gt;"",$D$29,""),"")</f>
        <v/>
      </c>
      <c r="O333" s="270"/>
      <c r="P333" s="271" t="str">
        <f t="shared" si="30"/>
        <v/>
      </c>
      <c r="Q333" s="272"/>
      <c r="R333" s="255">
        <f t="shared" si="36"/>
        <v>0</v>
      </c>
      <c r="S333" s="255">
        <f>IF(S323&gt;0,R333*S323,99999999)</f>
        <v>99999999</v>
      </c>
      <c r="T333" s="262" t="str">
        <f t="shared" si="33"/>
        <v/>
      </c>
      <c r="U333" s="262" t="str">
        <f t="shared" si="32"/>
        <v/>
      </c>
    </row>
    <row r="334" spans="10:21" ht="17.25" hidden="1" customHeight="1" outlineLevel="1" x14ac:dyDescent="0.15">
      <c r="J334" s="266"/>
      <c r="K334" s="267"/>
      <c r="L334" s="267"/>
      <c r="M334" s="268" t="s">
        <v>367</v>
      </c>
      <c r="N334" s="269" t="str">
        <f>IF(K323&amp;L323&lt;&gt;"",IF($D$30&lt;&gt;"",$D$30,""),"")</f>
        <v/>
      </c>
      <c r="O334" s="270"/>
      <c r="P334" s="271" t="str">
        <f t="shared" si="30"/>
        <v/>
      </c>
      <c r="Q334" s="272"/>
      <c r="R334" s="255">
        <f>IF(N334&lt;&gt;"",VLOOKUP(N334,$D$19:$E$34,2,FALSE),0)</f>
        <v>0</v>
      </c>
      <c r="S334" s="255">
        <f>IF(S323&gt;0,R334*S323,99999999)</f>
        <v>99999999</v>
      </c>
      <c r="T334" s="262" t="str">
        <f t="shared" si="33"/>
        <v/>
      </c>
      <c r="U334" s="262" t="str">
        <f t="shared" si="32"/>
        <v/>
      </c>
    </row>
    <row r="335" spans="10:21" ht="17.25" hidden="1" customHeight="1" outlineLevel="1" x14ac:dyDescent="0.15">
      <c r="J335" s="266"/>
      <c r="K335" s="267"/>
      <c r="L335" s="267"/>
      <c r="M335" s="268" t="s">
        <v>367</v>
      </c>
      <c r="N335" s="269" t="str">
        <f>IF(K323&amp;L323&lt;&gt;"",IF($D$31&lt;&gt;"",$D$31,""),"")</f>
        <v/>
      </c>
      <c r="O335" s="270"/>
      <c r="P335" s="271" t="str">
        <f t="shared" si="30"/>
        <v/>
      </c>
      <c r="Q335" s="272"/>
      <c r="R335" s="255">
        <f>IF(N335&lt;&gt;"",VLOOKUP(N335,$D$19:$E$34,2,FALSE),0)</f>
        <v>0</v>
      </c>
      <c r="S335" s="255">
        <f>IF(S323&gt;0,R335*S323,99999999)</f>
        <v>99999999</v>
      </c>
      <c r="T335" s="262" t="str">
        <f t="shared" si="33"/>
        <v/>
      </c>
      <c r="U335" s="262" t="str">
        <f t="shared" si="32"/>
        <v/>
      </c>
    </row>
    <row r="336" spans="10:21" ht="17.25" hidden="1" customHeight="1" outlineLevel="1" x14ac:dyDescent="0.15">
      <c r="J336" s="266"/>
      <c r="K336" s="267"/>
      <c r="L336" s="267"/>
      <c r="M336" s="268" t="s">
        <v>367</v>
      </c>
      <c r="N336" s="269" t="str">
        <f>IF(K323&amp;L323&lt;&gt;"",IF($D$32&lt;&gt;"",$D$32,""),"")</f>
        <v/>
      </c>
      <c r="O336" s="270"/>
      <c r="P336" s="271" t="str">
        <f t="shared" si="30"/>
        <v/>
      </c>
      <c r="Q336" s="272"/>
      <c r="R336" s="255">
        <f>IF(N336&lt;&gt;"",VLOOKUP(N336,$D$19:$E$34,2,FALSE),0)</f>
        <v>0</v>
      </c>
      <c r="S336" s="255">
        <f>IF(S323&gt;0,R336*S323,99999999)</f>
        <v>99999999</v>
      </c>
      <c r="T336" s="262" t="str">
        <f t="shared" si="33"/>
        <v/>
      </c>
      <c r="U336" s="262" t="str">
        <f t="shared" si="32"/>
        <v/>
      </c>
    </row>
    <row r="337" spans="10:21" ht="17.25" hidden="1" customHeight="1" outlineLevel="1" x14ac:dyDescent="0.15">
      <c r="J337" s="266"/>
      <c r="K337" s="267"/>
      <c r="L337" s="267"/>
      <c r="M337" s="268" t="s">
        <v>367</v>
      </c>
      <c r="N337" s="269" t="str">
        <f>IF(K323&amp;L323&lt;&gt;"",IF($D$33&lt;&gt;"",$D$33,""),"")</f>
        <v/>
      </c>
      <c r="O337" s="270"/>
      <c r="P337" s="271" t="str">
        <f t="shared" si="30"/>
        <v/>
      </c>
      <c r="Q337" s="272"/>
      <c r="R337" s="255">
        <f>IF(N337&lt;&gt;"",VLOOKUP(N337,$D$19:$E$34,2,FALSE),0)</f>
        <v>0</v>
      </c>
      <c r="S337" s="255">
        <f>IF(S323&gt;0,R337*S323,99999999)</f>
        <v>99999999</v>
      </c>
      <c r="T337" s="262" t="str">
        <f t="shared" si="33"/>
        <v/>
      </c>
      <c r="U337" s="262" t="str">
        <f t="shared" si="32"/>
        <v/>
      </c>
    </row>
    <row r="338" spans="10:21" ht="17.25" hidden="1" customHeight="1" outlineLevel="1" x14ac:dyDescent="0.15">
      <c r="J338" s="279"/>
      <c r="K338" s="280"/>
      <c r="L338" s="280"/>
      <c r="M338" s="281" t="s">
        <v>367</v>
      </c>
      <c r="N338" s="278" t="str">
        <f>IF(K323&amp;L323&lt;&gt;"",IF($D$34&lt;&gt;"",$D$34,""),"")</f>
        <v/>
      </c>
      <c r="O338" s="282"/>
      <c r="P338" s="271" t="str">
        <f t="shared" si="30"/>
        <v/>
      </c>
      <c r="Q338" s="283"/>
      <c r="R338" s="255">
        <f>IF(N338&lt;&gt;"",VLOOKUP(N338,$D$19:$E$34,2,FALSE),0)</f>
        <v>0</v>
      </c>
      <c r="S338" s="255">
        <f>IF(S323&gt;0,R338*S323,99999999)</f>
        <v>99999999</v>
      </c>
      <c r="T338" s="262" t="str">
        <f t="shared" si="33"/>
        <v/>
      </c>
      <c r="U338" s="262" t="str">
        <f t="shared" si="32"/>
        <v/>
      </c>
    </row>
    <row r="339" spans="10:21" ht="17.25" customHeight="1" collapsed="1" x14ac:dyDescent="0.15">
      <c r="J339" s="256">
        <v>21</v>
      </c>
      <c r="K339" s="257"/>
      <c r="L339" s="257"/>
      <c r="M339" s="258" t="s">
        <v>366</v>
      </c>
      <c r="N339" s="259" t="str">
        <f>IF(K339&amp;L339&lt;&gt;"",IF($D$19&lt;&gt;"",$D$19,""),"")</f>
        <v/>
      </c>
      <c r="O339" s="257"/>
      <c r="P339" s="260" t="str">
        <f t="shared" ref="P339:P402" si="37">IF(ISERROR(ROUND(Q339/O339,0)),"",ROUND(Q339/O339,0))</f>
        <v/>
      </c>
      <c r="Q339" s="261"/>
      <c r="R339" s="255">
        <f t="shared" ref="R339:R349" si="38">IF(N339&lt;&gt;"",VLOOKUP(N339,$D$19:$E$29,2,FALSE),0)</f>
        <v>0</v>
      </c>
      <c r="S339" s="255">
        <f>IF($E$19&gt;0,IF(MOD(O339,$E$19)=0,O339/$E$19,-1),-1)</f>
        <v>-1</v>
      </c>
      <c r="T339" s="262" t="str">
        <f>IF(N339&lt;&gt;"",IF(O339&lt;&gt;"",IF(S339&gt;0,"OK","数量が不足しています"),"数量が未入力です"),"")</f>
        <v/>
      </c>
      <c r="U339" s="262" t="str">
        <f t="shared" ref="U339:U402" si="39">IF(O339&lt;&gt;"",IF(Q339&lt;&gt;"","OK","未入力です"),"")</f>
        <v/>
      </c>
    </row>
    <row r="340" spans="10:21" ht="17.25" customHeight="1" x14ac:dyDescent="0.15">
      <c r="J340" s="266"/>
      <c r="K340" s="267"/>
      <c r="L340" s="267"/>
      <c r="M340" s="268" t="s">
        <v>367</v>
      </c>
      <c r="N340" s="269" t="str">
        <f>IF(K339&amp;L339&lt;&gt;"",IF($D$20&lt;&gt;"",$D$20,""),"")</f>
        <v/>
      </c>
      <c r="O340" s="270"/>
      <c r="P340" s="271" t="str">
        <f t="shared" si="37"/>
        <v/>
      </c>
      <c r="Q340" s="272"/>
      <c r="R340" s="255">
        <f t="shared" si="38"/>
        <v>0</v>
      </c>
      <c r="S340" s="255">
        <f>IF(S339&gt;0,R340*S339,99999999)</f>
        <v>99999999</v>
      </c>
      <c r="T340" s="262" t="str">
        <f t="shared" ref="T340:T402" si="40">IF(N340&lt;&gt;"",IF(O340&lt;&gt;"",IF(O340&gt;=S340,"OK","数量が不足しています"),"数量が未入力です"),"")</f>
        <v/>
      </c>
      <c r="U340" s="262" t="str">
        <f t="shared" si="39"/>
        <v/>
      </c>
    </row>
    <row r="341" spans="10:21" ht="17.25" customHeight="1" x14ac:dyDescent="0.15">
      <c r="J341" s="266"/>
      <c r="K341" s="267"/>
      <c r="L341" s="267"/>
      <c r="M341" s="268" t="s">
        <v>367</v>
      </c>
      <c r="N341" s="269" t="str">
        <f>IF(K339&amp;L339&lt;&gt;"",IF($D$21&lt;&gt;"",$D$21,""),"")</f>
        <v/>
      </c>
      <c r="O341" s="270"/>
      <c r="P341" s="271" t="str">
        <f t="shared" si="37"/>
        <v/>
      </c>
      <c r="Q341" s="272"/>
      <c r="R341" s="255">
        <f t="shared" si="38"/>
        <v>0</v>
      </c>
      <c r="S341" s="255">
        <f>IF(S339&gt;0,R341*S339,99999999)</f>
        <v>99999999</v>
      </c>
      <c r="T341" s="262" t="str">
        <f t="shared" si="40"/>
        <v/>
      </c>
      <c r="U341" s="262" t="str">
        <f t="shared" si="39"/>
        <v/>
      </c>
    </row>
    <row r="342" spans="10:21" ht="17.25" customHeight="1" x14ac:dyDescent="0.15">
      <c r="J342" s="266"/>
      <c r="K342" s="267"/>
      <c r="L342" s="267"/>
      <c r="M342" s="268" t="s">
        <v>367</v>
      </c>
      <c r="N342" s="269" t="str">
        <f>IF(K339&amp;L339&lt;&gt;"",IF($D$22&lt;&gt;"",$D$22,""),"")</f>
        <v/>
      </c>
      <c r="O342" s="270"/>
      <c r="P342" s="271" t="str">
        <f t="shared" si="37"/>
        <v/>
      </c>
      <c r="Q342" s="272"/>
      <c r="R342" s="255">
        <f t="shared" si="38"/>
        <v>0</v>
      </c>
      <c r="S342" s="255">
        <f>IF(S339&gt;0,R342*S339,99999999)</f>
        <v>99999999</v>
      </c>
      <c r="T342" s="262" t="str">
        <f t="shared" si="40"/>
        <v/>
      </c>
      <c r="U342" s="262" t="str">
        <f t="shared" si="39"/>
        <v/>
      </c>
    </row>
    <row r="343" spans="10:21" ht="17.25" customHeight="1" x14ac:dyDescent="0.15">
      <c r="J343" s="266"/>
      <c r="K343" s="267"/>
      <c r="L343" s="267"/>
      <c r="M343" s="268" t="s">
        <v>367</v>
      </c>
      <c r="N343" s="269" t="str">
        <f>IF(K339&amp;L339&lt;&gt;"",IF($D$23&lt;&gt;"",$D$23,""),"")</f>
        <v/>
      </c>
      <c r="O343" s="270"/>
      <c r="P343" s="271" t="str">
        <f t="shared" si="37"/>
        <v/>
      </c>
      <c r="Q343" s="272"/>
      <c r="R343" s="255">
        <f t="shared" si="38"/>
        <v>0</v>
      </c>
      <c r="S343" s="255">
        <f>IF(S339&gt;0,R343*S339,99999999)</f>
        <v>99999999</v>
      </c>
      <c r="T343" s="262" t="str">
        <f t="shared" si="40"/>
        <v/>
      </c>
      <c r="U343" s="262" t="str">
        <f t="shared" si="39"/>
        <v/>
      </c>
    </row>
    <row r="344" spans="10:21" ht="17.25" customHeight="1" x14ac:dyDescent="0.15">
      <c r="J344" s="266"/>
      <c r="K344" s="267"/>
      <c r="L344" s="267"/>
      <c r="M344" s="268" t="s">
        <v>367</v>
      </c>
      <c r="N344" s="269" t="str">
        <f>IF(K339&amp;L339&lt;&gt;"",IF($D$24&lt;&gt;"",$D$24,""),"")</f>
        <v/>
      </c>
      <c r="O344" s="270"/>
      <c r="P344" s="271" t="str">
        <f t="shared" si="37"/>
        <v/>
      </c>
      <c r="Q344" s="272"/>
      <c r="R344" s="255">
        <f t="shared" si="38"/>
        <v>0</v>
      </c>
      <c r="S344" s="255">
        <f>IF(S339&gt;0,R344*S339,99999999)</f>
        <v>99999999</v>
      </c>
      <c r="T344" s="262" t="str">
        <f t="shared" si="40"/>
        <v/>
      </c>
      <c r="U344" s="262" t="str">
        <f t="shared" si="39"/>
        <v/>
      </c>
    </row>
    <row r="345" spans="10:21" ht="17.25" customHeight="1" x14ac:dyDescent="0.15">
      <c r="J345" s="266"/>
      <c r="K345" s="267"/>
      <c r="L345" s="267"/>
      <c r="M345" s="268" t="s">
        <v>367</v>
      </c>
      <c r="N345" s="269" t="str">
        <f>IF(K339&amp;L339&lt;&gt;"",IF($D$25&lt;&gt;"",$D$25,""),"")</f>
        <v/>
      </c>
      <c r="O345" s="270"/>
      <c r="P345" s="271" t="str">
        <f t="shared" si="37"/>
        <v/>
      </c>
      <c r="Q345" s="272"/>
      <c r="R345" s="255">
        <f t="shared" si="38"/>
        <v>0</v>
      </c>
      <c r="S345" s="255">
        <f>IF(S339&gt;0,R345*S339,99999999)</f>
        <v>99999999</v>
      </c>
      <c r="T345" s="262" t="str">
        <f t="shared" si="40"/>
        <v/>
      </c>
      <c r="U345" s="262" t="str">
        <f t="shared" si="39"/>
        <v/>
      </c>
    </row>
    <row r="346" spans="10:21" ht="17.25" customHeight="1" x14ac:dyDescent="0.15">
      <c r="J346" s="266"/>
      <c r="K346" s="267"/>
      <c r="L346" s="267"/>
      <c r="M346" s="268" t="s">
        <v>367</v>
      </c>
      <c r="N346" s="269" t="str">
        <f>IF(K339&amp;L339&lt;&gt;"",IF($D$26&lt;&gt;"",$D$26,""),"")</f>
        <v/>
      </c>
      <c r="O346" s="270"/>
      <c r="P346" s="271" t="str">
        <f t="shared" si="37"/>
        <v/>
      </c>
      <c r="Q346" s="272"/>
      <c r="R346" s="255">
        <f t="shared" si="38"/>
        <v>0</v>
      </c>
      <c r="S346" s="255">
        <f>IF(S339&gt;0,R346*S339,99999999)</f>
        <v>99999999</v>
      </c>
      <c r="T346" s="262" t="str">
        <f t="shared" si="40"/>
        <v/>
      </c>
      <c r="U346" s="262" t="str">
        <f t="shared" si="39"/>
        <v/>
      </c>
    </row>
    <row r="347" spans="10:21" ht="17.25" customHeight="1" x14ac:dyDescent="0.15">
      <c r="J347" s="266"/>
      <c r="K347" s="267"/>
      <c r="L347" s="267"/>
      <c r="M347" s="268" t="s">
        <v>367</v>
      </c>
      <c r="N347" s="269" t="str">
        <f>IF(K339&amp;L339&lt;&gt;"",IF($D$27&lt;&gt;"",$D$27,""),"")</f>
        <v/>
      </c>
      <c r="O347" s="270"/>
      <c r="P347" s="271" t="str">
        <f t="shared" si="37"/>
        <v/>
      </c>
      <c r="Q347" s="272"/>
      <c r="R347" s="255">
        <f t="shared" si="38"/>
        <v>0</v>
      </c>
      <c r="S347" s="255">
        <f>IF(S339&gt;0,R347*S339,99999999)</f>
        <v>99999999</v>
      </c>
      <c r="T347" s="262" t="str">
        <f t="shared" si="40"/>
        <v/>
      </c>
      <c r="U347" s="262" t="str">
        <f t="shared" si="39"/>
        <v/>
      </c>
    </row>
    <row r="348" spans="10:21" ht="17.25" customHeight="1" x14ac:dyDescent="0.15">
      <c r="J348" s="266"/>
      <c r="K348" s="267"/>
      <c r="L348" s="267"/>
      <c r="M348" s="268" t="s">
        <v>367</v>
      </c>
      <c r="N348" s="269" t="str">
        <f>IF(K339&amp;L339&lt;&gt;"",IF($D$28&lt;&gt;"",$D$28,""),"")</f>
        <v/>
      </c>
      <c r="O348" s="270"/>
      <c r="P348" s="271" t="str">
        <f t="shared" si="37"/>
        <v/>
      </c>
      <c r="Q348" s="272"/>
      <c r="R348" s="255">
        <f t="shared" si="38"/>
        <v>0</v>
      </c>
      <c r="S348" s="255">
        <f>IF(S339&gt;0,R348*S339,99999999)</f>
        <v>99999999</v>
      </c>
      <c r="T348" s="262" t="str">
        <f t="shared" si="40"/>
        <v/>
      </c>
      <c r="U348" s="262" t="str">
        <f t="shared" si="39"/>
        <v/>
      </c>
    </row>
    <row r="349" spans="10:21" ht="17.25" customHeight="1" x14ac:dyDescent="0.15">
      <c r="J349" s="266"/>
      <c r="K349" s="267"/>
      <c r="L349" s="267"/>
      <c r="M349" s="268" t="s">
        <v>367</v>
      </c>
      <c r="N349" s="269" t="str">
        <f>IF(K339&amp;L339&lt;&gt;"",IF($D$29&lt;&gt;"",$D$29,""),"")</f>
        <v/>
      </c>
      <c r="O349" s="270"/>
      <c r="P349" s="271" t="str">
        <f t="shared" si="37"/>
        <v/>
      </c>
      <c r="Q349" s="272"/>
      <c r="R349" s="255">
        <f t="shared" si="38"/>
        <v>0</v>
      </c>
      <c r="S349" s="255">
        <f>IF(S339&gt;0,R349*S339,99999999)</f>
        <v>99999999</v>
      </c>
      <c r="T349" s="262" t="str">
        <f t="shared" si="40"/>
        <v/>
      </c>
      <c r="U349" s="262" t="str">
        <f t="shared" si="39"/>
        <v/>
      </c>
    </row>
    <row r="350" spans="10:21" ht="17.25" hidden="1" customHeight="1" outlineLevel="1" x14ac:dyDescent="0.15">
      <c r="J350" s="266"/>
      <c r="K350" s="267"/>
      <c r="L350" s="267"/>
      <c r="M350" s="268" t="s">
        <v>367</v>
      </c>
      <c r="N350" s="269" t="str">
        <f>IF(K339&amp;L339&lt;&gt;"",IF($D$30&lt;&gt;"",$D$30,""),"")</f>
        <v/>
      </c>
      <c r="O350" s="270"/>
      <c r="P350" s="271" t="str">
        <f t="shared" si="37"/>
        <v/>
      </c>
      <c r="Q350" s="272"/>
      <c r="R350" s="255">
        <f>IF(N350&lt;&gt;"",VLOOKUP(N350,$D$19:$E$34,2,FALSE),0)</f>
        <v>0</v>
      </c>
      <c r="S350" s="255">
        <f>IF(S339&gt;0,R350*S339,99999999)</f>
        <v>99999999</v>
      </c>
      <c r="T350" s="262" t="str">
        <f t="shared" si="40"/>
        <v/>
      </c>
      <c r="U350" s="262" t="str">
        <f t="shared" si="39"/>
        <v/>
      </c>
    </row>
    <row r="351" spans="10:21" ht="17.25" hidden="1" customHeight="1" outlineLevel="1" x14ac:dyDescent="0.15">
      <c r="J351" s="266"/>
      <c r="K351" s="267"/>
      <c r="L351" s="267"/>
      <c r="M351" s="268" t="s">
        <v>367</v>
      </c>
      <c r="N351" s="269" t="str">
        <f>IF(K339&amp;L339&lt;&gt;"",IF($D$31&lt;&gt;"",$D$31,""),"")</f>
        <v/>
      </c>
      <c r="O351" s="270"/>
      <c r="P351" s="271" t="str">
        <f t="shared" si="37"/>
        <v/>
      </c>
      <c r="Q351" s="272"/>
      <c r="R351" s="255">
        <f>IF(N351&lt;&gt;"",VLOOKUP(N351,$D$19:$E$34,2,FALSE),0)</f>
        <v>0</v>
      </c>
      <c r="S351" s="255">
        <f>IF(S339&gt;0,R351*S339,99999999)</f>
        <v>99999999</v>
      </c>
      <c r="T351" s="262" t="str">
        <f t="shared" si="40"/>
        <v/>
      </c>
      <c r="U351" s="262" t="str">
        <f t="shared" si="39"/>
        <v/>
      </c>
    </row>
    <row r="352" spans="10:21" ht="17.25" hidden="1" customHeight="1" outlineLevel="1" x14ac:dyDescent="0.15">
      <c r="J352" s="266"/>
      <c r="K352" s="267"/>
      <c r="L352" s="267"/>
      <c r="M352" s="268" t="s">
        <v>367</v>
      </c>
      <c r="N352" s="269" t="str">
        <f>IF(K339&amp;L339&lt;&gt;"",IF($D$32&lt;&gt;"",$D$32,""),"")</f>
        <v/>
      </c>
      <c r="O352" s="270"/>
      <c r="P352" s="271" t="str">
        <f t="shared" si="37"/>
        <v/>
      </c>
      <c r="Q352" s="272"/>
      <c r="R352" s="255">
        <f>IF(N352&lt;&gt;"",VLOOKUP(N352,$D$19:$E$34,2,FALSE),0)</f>
        <v>0</v>
      </c>
      <c r="S352" s="255">
        <f>IF(S339&gt;0,R352*S339,99999999)</f>
        <v>99999999</v>
      </c>
      <c r="T352" s="262" t="str">
        <f t="shared" si="40"/>
        <v/>
      </c>
      <c r="U352" s="262" t="str">
        <f t="shared" si="39"/>
        <v/>
      </c>
    </row>
    <row r="353" spans="10:21" ht="17.25" hidden="1" customHeight="1" outlineLevel="1" x14ac:dyDescent="0.15">
      <c r="J353" s="266"/>
      <c r="K353" s="267"/>
      <c r="L353" s="267"/>
      <c r="M353" s="268" t="s">
        <v>367</v>
      </c>
      <c r="N353" s="269" t="str">
        <f>IF(K339&amp;L339&lt;&gt;"",IF($D$33&lt;&gt;"",$D$33,""),"")</f>
        <v/>
      </c>
      <c r="O353" s="270"/>
      <c r="P353" s="271" t="str">
        <f t="shared" si="37"/>
        <v/>
      </c>
      <c r="Q353" s="272"/>
      <c r="R353" s="255">
        <f>IF(N353&lt;&gt;"",VLOOKUP(N353,$D$19:$E$34,2,FALSE),0)</f>
        <v>0</v>
      </c>
      <c r="S353" s="255">
        <f>IF(S339&gt;0,R353*S339,99999999)</f>
        <v>99999999</v>
      </c>
      <c r="T353" s="262" t="str">
        <f t="shared" si="40"/>
        <v/>
      </c>
      <c r="U353" s="262" t="str">
        <f t="shared" si="39"/>
        <v/>
      </c>
    </row>
    <row r="354" spans="10:21" ht="17.25" hidden="1" customHeight="1" outlineLevel="1" x14ac:dyDescent="0.15">
      <c r="J354" s="279"/>
      <c r="K354" s="280"/>
      <c r="L354" s="280"/>
      <c r="M354" s="281" t="s">
        <v>367</v>
      </c>
      <c r="N354" s="278" t="str">
        <f>IF(K339&amp;L339&lt;&gt;"",IF($D$34&lt;&gt;"",$D$34,""),"")</f>
        <v/>
      </c>
      <c r="O354" s="282"/>
      <c r="P354" s="271" t="str">
        <f t="shared" si="37"/>
        <v/>
      </c>
      <c r="Q354" s="283"/>
      <c r="R354" s="255">
        <f>IF(N354&lt;&gt;"",VLOOKUP(N354,$D$19:$E$34,2,FALSE),0)</f>
        <v>0</v>
      </c>
      <c r="S354" s="255">
        <f>IF(S339&gt;0,R354*S339,99999999)</f>
        <v>99999999</v>
      </c>
      <c r="T354" s="262" t="str">
        <f t="shared" si="40"/>
        <v/>
      </c>
      <c r="U354" s="262" t="str">
        <f t="shared" si="39"/>
        <v/>
      </c>
    </row>
    <row r="355" spans="10:21" ht="17.25" customHeight="1" collapsed="1" x14ac:dyDescent="0.15">
      <c r="J355" s="256">
        <v>22</v>
      </c>
      <c r="K355" s="257"/>
      <c r="L355" s="257"/>
      <c r="M355" s="258" t="s">
        <v>366</v>
      </c>
      <c r="N355" s="259" t="str">
        <f>IF(K355&amp;L355&lt;&gt;"",IF($D$19&lt;&gt;"",$D$19,""),"")</f>
        <v/>
      </c>
      <c r="O355" s="257"/>
      <c r="P355" s="260" t="str">
        <f t="shared" si="37"/>
        <v/>
      </c>
      <c r="Q355" s="261"/>
      <c r="R355" s="255">
        <f t="shared" ref="R355:R365" si="41">IF(N355&lt;&gt;"",VLOOKUP(N355,$D$19:$E$29,2,FALSE),0)</f>
        <v>0</v>
      </c>
      <c r="S355" s="255">
        <f>IF($E$19&gt;0,IF(MOD(O355,$E$19)=0,O355/$E$19,-1),-1)</f>
        <v>-1</v>
      </c>
      <c r="T355" s="262" t="str">
        <f>IF(N355&lt;&gt;"",IF(O355&lt;&gt;"",IF(S355&gt;0,"OK","数量が不足しています"),"数量が未入力です"),"")</f>
        <v/>
      </c>
      <c r="U355" s="262" t="str">
        <f t="shared" si="39"/>
        <v/>
      </c>
    </row>
    <row r="356" spans="10:21" ht="17.25" customHeight="1" x14ac:dyDescent="0.15">
      <c r="J356" s="266"/>
      <c r="K356" s="267"/>
      <c r="L356" s="267"/>
      <c r="M356" s="268" t="s">
        <v>367</v>
      </c>
      <c r="N356" s="269" t="str">
        <f>IF(K355&amp;L355&lt;&gt;"",IF($D$20&lt;&gt;"",$D$20,""),"")</f>
        <v/>
      </c>
      <c r="O356" s="270"/>
      <c r="P356" s="271" t="str">
        <f t="shared" si="37"/>
        <v/>
      </c>
      <c r="Q356" s="272"/>
      <c r="R356" s="255">
        <f t="shared" si="41"/>
        <v>0</v>
      </c>
      <c r="S356" s="255">
        <f>IF(S355&gt;0,R356*S355,99999999)</f>
        <v>99999999</v>
      </c>
      <c r="T356" s="262" t="str">
        <f t="shared" si="40"/>
        <v/>
      </c>
      <c r="U356" s="262" t="str">
        <f t="shared" si="39"/>
        <v/>
      </c>
    </row>
    <row r="357" spans="10:21" ht="17.25" customHeight="1" x14ac:dyDescent="0.15">
      <c r="J357" s="266"/>
      <c r="K357" s="267"/>
      <c r="L357" s="267"/>
      <c r="M357" s="268" t="s">
        <v>367</v>
      </c>
      <c r="N357" s="269" t="str">
        <f>IF(K355&amp;L355&lt;&gt;"",IF($D$21&lt;&gt;"",$D$21,""),"")</f>
        <v/>
      </c>
      <c r="O357" s="270"/>
      <c r="P357" s="271" t="str">
        <f t="shared" si="37"/>
        <v/>
      </c>
      <c r="Q357" s="272"/>
      <c r="R357" s="255">
        <f t="shared" si="41"/>
        <v>0</v>
      </c>
      <c r="S357" s="255">
        <f>IF(S355&gt;0,R357*S355,99999999)</f>
        <v>99999999</v>
      </c>
      <c r="T357" s="262" t="str">
        <f t="shared" si="40"/>
        <v/>
      </c>
      <c r="U357" s="262" t="str">
        <f t="shared" si="39"/>
        <v/>
      </c>
    </row>
    <row r="358" spans="10:21" ht="17.25" customHeight="1" x14ac:dyDescent="0.15">
      <c r="J358" s="266"/>
      <c r="K358" s="267"/>
      <c r="L358" s="267"/>
      <c r="M358" s="268" t="s">
        <v>367</v>
      </c>
      <c r="N358" s="269" t="str">
        <f>IF(K355&amp;L355&lt;&gt;"",IF($D$22&lt;&gt;"",$D$22,""),"")</f>
        <v/>
      </c>
      <c r="O358" s="270"/>
      <c r="P358" s="271" t="str">
        <f t="shared" si="37"/>
        <v/>
      </c>
      <c r="Q358" s="272"/>
      <c r="R358" s="255">
        <f t="shared" si="41"/>
        <v>0</v>
      </c>
      <c r="S358" s="255">
        <f>IF(S355&gt;0,R358*S355,99999999)</f>
        <v>99999999</v>
      </c>
      <c r="T358" s="262" t="str">
        <f t="shared" si="40"/>
        <v/>
      </c>
      <c r="U358" s="262" t="str">
        <f t="shared" si="39"/>
        <v/>
      </c>
    </row>
    <row r="359" spans="10:21" ht="17.25" customHeight="1" x14ac:dyDescent="0.15">
      <c r="J359" s="266"/>
      <c r="K359" s="267"/>
      <c r="L359" s="267"/>
      <c r="M359" s="268" t="s">
        <v>367</v>
      </c>
      <c r="N359" s="269" t="str">
        <f>IF(K355&amp;L355&lt;&gt;"",IF($D$23&lt;&gt;"",$D$23,""),"")</f>
        <v/>
      </c>
      <c r="O359" s="270"/>
      <c r="P359" s="271" t="str">
        <f t="shared" si="37"/>
        <v/>
      </c>
      <c r="Q359" s="272"/>
      <c r="R359" s="255">
        <f t="shared" si="41"/>
        <v>0</v>
      </c>
      <c r="S359" s="255">
        <f>IF(S355&gt;0,R359*S355,99999999)</f>
        <v>99999999</v>
      </c>
      <c r="T359" s="262" t="str">
        <f t="shared" si="40"/>
        <v/>
      </c>
      <c r="U359" s="262" t="str">
        <f t="shared" si="39"/>
        <v/>
      </c>
    </row>
    <row r="360" spans="10:21" ht="17.25" customHeight="1" x14ac:dyDescent="0.15">
      <c r="J360" s="266"/>
      <c r="K360" s="267"/>
      <c r="L360" s="267"/>
      <c r="M360" s="268" t="s">
        <v>367</v>
      </c>
      <c r="N360" s="269" t="str">
        <f>IF(K355&amp;L355&lt;&gt;"",IF($D$24&lt;&gt;"",$D$24,""),"")</f>
        <v/>
      </c>
      <c r="O360" s="270"/>
      <c r="P360" s="271" t="str">
        <f t="shared" si="37"/>
        <v/>
      </c>
      <c r="Q360" s="272"/>
      <c r="R360" s="255">
        <f t="shared" si="41"/>
        <v>0</v>
      </c>
      <c r="S360" s="255">
        <f>IF(S355&gt;0,R360*S355,99999999)</f>
        <v>99999999</v>
      </c>
      <c r="T360" s="262" t="str">
        <f t="shared" si="40"/>
        <v/>
      </c>
      <c r="U360" s="262" t="str">
        <f t="shared" si="39"/>
        <v/>
      </c>
    </row>
    <row r="361" spans="10:21" ht="17.25" customHeight="1" x14ac:dyDescent="0.15">
      <c r="J361" s="266"/>
      <c r="K361" s="267"/>
      <c r="L361" s="267"/>
      <c r="M361" s="268" t="s">
        <v>367</v>
      </c>
      <c r="N361" s="269" t="str">
        <f>IF(K355&amp;L355&lt;&gt;"",IF($D$25&lt;&gt;"",$D$25,""),"")</f>
        <v/>
      </c>
      <c r="O361" s="270"/>
      <c r="P361" s="271" t="str">
        <f t="shared" si="37"/>
        <v/>
      </c>
      <c r="Q361" s="272"/>
      <c r="R361" s="255">
        <f t="shared" si="41"/>
        <v>0</v>
      </c>
      <c r="S361" s="255">
        <f>IF(S355&gt;0,R361*S355,99999999)</f>
        <v>99999999</v>
      </c>
      <c r="T361" s="262" t="str">
        <f t="shared" si="40"/>
        <v/>
      </c>
      <c r="U361" s="262" t="str">
        <f t="shared" si="39"/>
        <v/>
      </c>
    </row>
    <row r="362" spans="10:21" ht="17.25" customHeight="1" x14ac:dyDescent="0.15">
      <c r="J362" s="266"/>
      <c r="K362" s="267"/>
      <c r="L362" s="267"/>
      <c r="M362" s="268" t="s">
        <v>367</v>
      </c>
      <c r="N362" s="269" t="str">
        <f>IF(K355&amp;L355&lt;&gt;"",IF($D$26&lt;&gt;"",$D$26,""),"")</f>
        <v/>
      </c>
      <c r="O362" s="270"/>
      <c r="P362" s="271" t="str">
        <f t="shared" si="37"/>
        <v/>
      </c>
      <c r="Q362" s="272"/>
      <c r="R362" s="255">
        <f t="shared" si="41"/>
        <v>0</v>
      </c>
      <c r="S362" s="255">
        <f>IF(S355&gt;0,R362*S355,99999999)</f>
        <v>99999999</v>
      </c>
      <c r="T362" s="262" t="str">
        <f t="shared" si="40"/>
        <v/>
      </c>
      <c r="U362" s="262" t="str">
        <f t="shared" si="39"/>
        <v/>
      </c>
    </row>
    <row r="363" spans="10:21" ht="17.25" customHeight="1" x14ac:dyDescent="0.15">
      <c r="J363" s="266"/>
      <c r="K363" s="267"/>
      <c r="L363" s="267"/>
      <c r="M363" s="268" t="s">
        <v>367</v>
      </c>
      <c r="N363" s="269" t="str">
        <f>IF(K355&amp;L355&lt;&gt;"",IF($D$27&lt;&gt;"",$D$27,""),"")</f>
        <v/>
      </c>
      <c r="O363" s="270"/>
      <c r="P363" s="271" t="str">
        <f t="shared" si="37"/>
        <v/>
      </c>
      <c r="Q363" s="272"/>
      <c r="R363" s="255">
        <f t="shared" si="41"/>
        <v>0</v>
      </c>
      <c r="S363" s="255">
        <f>IF(S355&gt;0,R363*S355,99999999)</f>
        <v>99999999</v>
      </c>
      <c r="T363" s="262" t="str">
        <f t="shared" si="40"/>
        <v/>
      </c>
      <c r="U363" s="262" t="str">
        <f t="shared" si="39"/>
        <v/>
      </c>
    </row>
    <row r="364" spans="10:21" ht="17.25" customHeight="1" x14ac:dyDescent="0.15">
      <c r="J364" s="266"/>
      <c r="K364" s="267"/>
      <c r="L364" s="267"/>
      <c r="M364" s="268" t="s">
        <v>367</v>
      </c>
      <c r="N364" s="269" t="str">
        <f>IF(K355&amp;L355&lt;&gt;"",IF($D$28&lt;&gt;"",$D$28,""),"")</f>
        <v/>
      </c>
      <c r="O364" s="270"/>
      <c r="P364" s="271" t="str">
        <f t="shared" si="37"/>
        <v/>
      </c>
      <c r="Q364" s="272"/>
      <c r="R364" s="255">
        <f t="shared" si="41"/>
        <v>0</v>
      </c>
      <c r="S364" s="255">
        <f>IF(S355&gt;0,R364*S355,99999999)</f>
        <v>99999999</v>
      </c>
      <c r="T364" s="262" t="str">
        <f t="shared" si="40"/>
        <v/>
      </c>
      <c r="U364" s="262" t="str">
        <f t="shared" si="39"/>
        <v/>
      </c>
    </row>
    <row r="365" spans="10:21" ht="17.25" customHeight="1" x14ac:dyDescent="0.15">
      <c r="J365" s="266"/>
      <c r="K365" s="267"/>
      <c r="L365" s="267"/>
      <c r="M365" s="268" t="s">
        <v>367</v>
      </c>
      <c r="N365" s="269" t="str">
        <f>IF(K355&amp;L355&lt;&gt;"",IF($D$29&lt;&gt;"",$D$29,""),"")</f>
        <v/>
      </c>
      <c r="O365" s="270"/>
      <c r="P365" s="271" t="str">
        <f t="shared" si="37"/>
        <v/>
      </c>
      <c r="Q365" s="272"/>
      <c r="R365" s="255">
        <f t="shared" si="41"/>
        <v>0</v>
      </c>
      <c r="S365" s="255">
        <f>IF(S355&gt;0,R365*S355,99999999)</f>
        <v>99999999</v>
      </c>
      <c r="T365" s="262" t="str">
        <f t="shared" si="40"/>
        <v/>
      </c>
      <c r="U365" s="262" t="str">
        <f t="shared" si="39"/>
        <v/>
      </c>
    </row>
    <row r="366" spans="10:21" ht="17.25" hidden="1" customHeight="1" outlineLevel="1" x14ac:dyDescent="0.15">
      <c r="J366" s="266"/>
      <c r="K366" s="267"/>
      <c r="L366" s="267"/>
      <c r="M366" s="268" t="s">
        <v>367</v>
      </c>
      <c r="N366" s="269" t="str">
        <f>IF(K355&amp;L355&lt;&gt;"",IF($D$30&lt;&gt;"",$D$30,""),"")</f>
        <v/>
      </c>
      <c r="O366" s="270"/>
      <c r="P366" s="271" t="str">
        <f t="shared" si="37"/>
        <v/>
      </c>
      <c r="Q366" s="272"/>
      <c r="R366" s="255">
        <f>IF(N366&lt;&gt;"",VLOOKUP(N366,$D$19:$E$34,2,FALSE),0)</f>
        <v>0</v>
      </c>
      <c r="S366" s="255">
        <f>IF(S355&gt;0,R366*S355,99999999)</f>
        <v>99999999</v>
      </c>
      <c r="T366" s="262" t="str">
        <f t="shared" si="40"/>
        <v/>
      </c>
      <c r="U366" s="262" t="str">
        <f t="shared" si="39"/>
        <v/>
      </c>
    </row>
    <row r="367" spans="10:21" ht="17.25" hidden="1" customHeight="1" outlineLevel="1" x14ac:dyDescent="0.15">
      <c r="J367" s="266"/>
      <c r="K367" s="267"/>
      <c r="L367" s="267"/>
      <c r="M367" s="268" t="s">
        <v>367</v>
      </c>
      <c r="N367" s="269" t="str">
        <f>IF(K355&amp;L355&lt;&gt;"",IF($D$31&lt;&gt;"",$D$31,""),"")</f>
        <v/>
      </c>
      <c r="O367" s="270"/>
      <c r="P367" s="271" t="str">
        <f t="shared" si="37"/>
        <v/>
      </c>
      <c r="Q367" s="272"/>
      <c r="R367" s="255">
        <f>IF(N367&lt;&gt;"",VLOOKUP(N367,$D$19:$E$34,2,FALSE),0)</f>
        <v>0</v>
      </c>
      <c r="S367" s="255">
        <f>IF(S355&gt;0,R367*S355,99999999)</f>
        <v>99999999</v>
      </c>
      <c r="T367" s="262" t="str">
        <f t="shared" si="40"/>
        <v/>
      </c>
      <c r="U367" s="262" t="str">
        <f t="shared" si="39"/>
        <v/>
      </c>
    </row>
    <row r="368" spans="10:21" ht="17.25" hidden="1" customHeight="1" outlineLevel="1" x14ac:dyDescent="0.15">
      <c r="J368" s="266"/>
      <c r="K368" s="267"/>
      <c r="L368" s="267"/>
      <c r="M368" s="268" t="s">
        <v>367</v>
      </c>
      <c r="N368" s="269" t="str">
        <f>IF(K355&amp;L355&lt;&gt;"",IF($D$32&lt;&gt;"",$D$32,""),"")</f>
        <v/>
      </c>
      <c r="O368" s="270"/>
      <c r="P368" s="271" t="str">
        <f t="shared" si="37"/>
        <v/>
      </c>
      <c r="Q368" s="272"/>
      <c r="R368" s="255">
        <f>IF(N368&lt;&gt;"",VLOOKUP(N368,$D$19:$E$34,2,FALSE),0)</f>
        <v>0</v>
      </c>
      <c r="S368" s="255">
        <f>IF(S355&gt;0,R368*S355,99999999)</f>
        <v>99999999</v>
      </c>
      <c r="T368" s="262" t="str">
        <f t="shared" si="40"/>
        <v/>
      </c>
      <c r="U368" s="262" t="str">
        <f t="shared" si="39"/>
        <v/>
      </c>
    </row>
    <row r="369" spans="10:21" ht="17.25" hidden="1" customHeight="1" outlineLevel="1" x14ac:dyDescent="0.15">
      <c r="J369" s="266"/>
      <c r="K369" s="267"/>
      <c r="L369" s="267"/>
      <c r="M369" s="268" t="s">
        <v>367</v>
      </c>
      <c r="N369" s="269" t="str">
        <f>IF(K355&amp;L355&lt;&gt;"",IF($D$33&lt;&gt;"",$D$33,""),"")</f>
        <v/>
      </c>
      <c r="O369" s="270"/>
      <c r="P369" s="271" t="str">
        <f t="shared" si="37"/>
        <v/>
      </c>
      <c r="Q369" s="272"/>
      <c r="R369" s="255">
        <f>IF(N369&lt;&gt;"",VLOOKUP(N369,$D$19:$E$34,2,FALSE),0)</f>
        <v>0</v>
      </c>
      <c r="S369" s="255">
        <f>IF(S355&gt;0,R369*S355,99999999)</f>
        <v>99999999</v>
      </c>
      <c r="T369" s="262" t="str">
        <f t="shared" si="40"/>
        <v/>
      </c>
      <c r="U369" s="262" t="str">
        <f t="shared" si="39"/>
        <v/>
      </c>
    </row>
    <row r="370" spans="10:21" ht="17.25" hidden="1" customHeight="1" outlineLevel="1" x14ac:dyDescent="0.15">
      <c r="J370" s="279"/>
      <c r="K370" s="280"/>
      <c r="L370" s="280"/>
      <c r="M370" s="281" t="s">
        <v>367</v>
      </c>
      <c r="N370" s="278" t="str">
        <f>IF(K355&amp;L355&lt;&gt;"",IF($D$34&lt;&gt;"",$D$34,""),"")</f>
        <v/>
      </c>
      <c r="O370" s="282"/>
      <c r="P370" s="271" t="str">
        <f t="shared" si="37"/>
        <v/>
      </c>
      <c r="Q370" s="283"/>
      <c r="R370" s="255">
        <f>IF(N370&lt;&gt;"",VLOOKUP(N370,$D$19:$E$34,2,FALSE),0)</f>
        <v>0</v>
      </c>
      <c r="S370" s="255">
        <f>IF(S355&gt;0,R370*S355,99999999)</f>
        <v>99999999</v>
      </c>
      <c r="T370" s="262" t="str">
        <f t="shared" si="40"/>
        <v/>
      </c>
      <c r="U370" s="262" t="str">
        <f t="shared" si="39"/>
        <v/>
      </c>
    </row>
    <row r="371" spans="10:21" ht="17.25" customHeight="1" collapsed="1" x14ac:dyDescent="0.15">
      <c r="J371" s="256">
        <v>23</v>
      </c>
      <c r="K371" s="257"/>
      <c r="L371" s="257"/>
      <c r="M371" s="258" t="s">
        <v>366</v>
      </c>
      <c r="N371" s="259" t="str">
        <f>IF(K371&amp;L371&lt;&gt;"",IF($D$19&lt;&gt;"",$D$19,""),"")</f>
        <v/>
      </c>
      <c r="O371" s="257"/>
      <c r="P371" s="260" t="str">
        <f t="shared" si="37"/>
        <v/>
      </c>
      <c r="Q371" s="261"/>
      <c r="R371" s="255">
        <f t="shared" ref="R371:R381" si="42">IF(N371&lt;&gt;"",VLOOKUP(N371,$D$19:$E$29,2,FALSE),0)</f>
        <v>0</v>
      </c>
      <c r="S371" s="255">
        <f>IF($E$19&gt;0,IF(MOD(O371,$E$19)=0,O371/$E$19,-1),-1)</f>
        <v>-1</v>
      </c>
      <c r="T371" s="262" t="str">
        <f>IF(N371&lt;&gt;"",IF(O371&lt;&gt;"",IF(S371&gt;0,"OK","数量が不足しています"),"数量が未入力です"),"")</f>
        <v/>
      </c>
      <c r="U371" s="262" t="str">
        <f t="shared" si="39"/>
        <v/>
      </c>
    </row>
    <row r="372" spans="10:21" ht="17.25" customHeight="1" x14ac:dyDescent="0.15">
      <c r="J372" s="266"/>
      <c r="K372" s="267"/>
      <c r="L372" s="267"/>
      <c r="M372" s="268" t="s">
        <v>367</v>
      </c>
      <c r="N372" s="269" t="str">
        <f>IF(K371&amp;L371&lt;&gt;"",IF($D$20&lt;&gt;"",$D$20,""),"")</f>
        <v/>
      </c>
      <c r="O372" s="270"/>
      <c r="P372" s="271" t="str">
        <f t="shared" si="37"/>
        <v/>
      </c>
      <c r="Q372" s="272"/>
      <c r="R372" s="255">
        <f t="shared" si="42"/>
        <v>0</v>
      </c>
      <c r="S372" s="255">
        <f>IF(S371&gt;0,R372*S371,99999999)</f>
        <v>99999999</v>
      </c>
      <c r="T372" s="262" t="str">
        <f t="shared" si="40"/>
        <v/>
      </c>
      <c r="U372" s="262" t="str">
        <f t="shared" si="39"/>
        <v/>
      </c>
    </row>
    <row r="373" spans="10:21" ht="17.25" customHeight="1" x14ac:dyDescent="0.15">
      <c r="J373" s="266"/>
      <c r="K373" s="267"/>
      <c r="L373" s="267"/>
      <c r="M373" s="268" t="s">
        <v>367</v>
      </c>
      <c r="N373" s="269" t="str">
        <f>IF(K371&amp;L371&lt;&gt;"",IF($D$21&lt;&gt;"",$D$21,""),"")</f>
        <v/>
      </c>
      <c r="O373" s="270"/>
      <c r="P373" s="271" t="str">
        <f t="shared" si="37"/>
        <v/>
      </c>
      <c r="Q373" s="272"/>
      <c r="R373" s="255">
        <f t="shared" si="42"/>
        <v>0</v>
      </c>
      <c r="S373" s="255">
        <f>IF(S371&gt;0,R373*S371,99999999)</f>
        <v>99999999</v>
      </c>
      <c r="T373" s="262" t="str">
        <f t="shared" si="40"/>
        <v/>
      </c>
      <c r="U373" s="262" t="str">
        <f t="shared" si="39"/>
        <v/>
      </c>
    </row>
    <row r="374" spans="10:21" ht="17.25" customHeight="1" x14ac:dyDescent="0.15">
      <c r="J374" s="266"/>
      <c r="K374" s="267"/>
      <c r="L374" s="267"/>
      <c r="M374" s="268" t="s">
        <v>367</v>
      </c>
      <c r="N374" s="269" t="str">
        <f>IF(K371&amp;L371&lt;&gt;"",IF($D$22&lt;&gt;"",$D$22,""),"")</f>
        <v/>
      </c>
      <c r="O374" s="270"/>
      <c r="P374" s="271" t="str">
        <f t="shared" si="37"/>
        <v/>
      </c>
      <c r="Q374" s="272"/>
      <c r="R374" s="255">
        <f t="shared" si="42"/>
        <v>0</v>
      </c>
      <c r="S374" s="255">
        <f>IF(S371&gt;0,R374*S371,99999999)</f>
        <v>99999999</v>
      </c>
      <c r="T374" s="262" t="str">
        <f t="shared" si="40"/>
        <v/>
      </c>
      <c r="U374" s="262" t="str">
        <f t="shared" si="39"/>
        <v/>
      </c>
    </row>
    <row r="375" spans="10:21" ht="17.25" customHeight="1" x14ac:dyDescent="0.15">
      <c r="J375" s="266"/>
      <c r="K375" s="267"/>
      <c r="L375" s="267"/>
      <c r="M375" s="268" t="s">
        <v>367</v>
      </c>
      <c r="N375" s="269" t="str">
        <f>IF(K371&amp;L371&lt;&gt;"",IF($D$23&lt;&gt;"",$D$23,""),"")</f>
        <v/>
      </c>
      <c r="O375" s="270"/>
      <c r="P375" s="271" t="str">
        <f t="shared" si="37"/>
        <v/>
      </c>
      <c r="Q375" s="272"/>
      <c r="R375" s="255">
        <f t="shared" si="42"/>
        <v>0</v>
      </c>
      <c r="S375" s="255">
        <f>IF(S371&gt;0,R375*S371,99999999)</f>
        <v>99999999</v>
      </c>
      <c r="T375" s="262" t="str">
        <f t="shared" si="40"/>
        <v/>
      </c>
      <c r="U375" s="262" t="str">
        <f t="shared" si="39"/>
        <v/>
      </c>
    </row>
    <row r="376" spans="10:21" ht="17.25" customHeight="1" x14ac:dyDescent="0.15">
      <c r="J376" s="266"/>
      <c r="K376" s="267"/>
      <c r="L376" s="267"/>
      <c r="M376" s="268" t="s">
        <v>367</v>
      </c>
      <c r="N376" s="269" t="str">
        <f>IF(K371&amp;L371&lt;&gt;"",IF($D$24&lt;&gt;"",$D$24,""),"")</f>
        <v/>
      </c>
      <c r="O376" s="270"/>
      <c r="P376" s="271" t="str">
        <f t="shared" si="37"/>
        <v/>
      </c>
      <c r="Q376" s="272"/>
      <c r="R376" s="255">
        <f t="shared" si="42"/>
        <v>0</v>
      </c>
      <c r="S376" s="255">
        <f>IF(S371&gt;0,R376*S371,99999999)</f>
        <v>99999999</v>
      </c>
      <c r="T376" s="262" t="str">
        <f t="shared" si="40"/>
        <v/>
      </c>
      <c r="U376" s="262" t="str">
        <f t="shared" si="39"/>
        <v/>
      </c>
    </row>
    <row r="377" spans="10:21" ht="17.25" customHeight="1" x14ac:dyDescent="0.15">
      <c r="J377" s="266"/>
      <c r="K377" s="267"/>
      <c r="L377" s="267"/>
      <c r="M377" s="268" t="s">
        <v>367</v>
      </c>
      <c r="N377" s="269" t="str">
        <f>IF(K371&amp;L371&lt;&gt;"",IF($D$25&lt;&gt;"",$D$25,""),"")</f>
        <v/>
      </c>
      <c r="O377" s="270"/>
      <c r="P377" s="271" t="str">
        <f t="shared" si="37"/>
        <v/>
      </c>
      <c r="Q377" s="272"/>
      <c r="R377" s="255">
        <f t="shared" si="42"/>
        <v>0</v>
      </c>
      <c r="S377" s="255">
        <f>IF(S371&gt;0,R377*S371,99999999)</f>
        <v>99999999</v>
      </c>
      <c r="T377" s="262" t="str">
        <f t="shared" si="40"/>
        <v/>
      </c>
      <c r="U377" s="262" t="str">
        <f t="shared" si="39"/>
        <v/>
      </c>
    </row>
    <row r="378" spans="10:21" ht="17.25" customHeight="1" x14ac:dyDescent="0.15">
      <c r="J378" s="266"/>
      <c r="K378" s="267"/>
      <c r="L378" s="267"/>
      <c r="M378" s="268" t="s">
        <v>367</v>
      </c>
      <c r="N378" s="269" t="str">
        <f>IF(K371&amp;L371&lt;&gt;"",IF($D$26&lt;&gt;"",$D$26,""),"")</f>
        <v/>
      </c>
      <c r="O378" s="270"/>
      <c r="P378" s="271" t="str">
        <f t="shared" si="37"/>
        <v/>
      </c>
      <c r="Q378" s="272"/>
      <c r="R378" s="255">
        <f t="shared" si="42"/>
        <v>0</v>
      </c>
      <c r="S378" s="255">
        <f>IF(S371&gt;0,R378*S371,99999999)</f>
        <v>99999999</v>
      </c>
      <c r="T378" s="262" t="str">
        <f t="shared" si="40"/>
        <v/>
      </c>
      <c r="U378" s="262" t="str">
        <f t="shared" si="39"/>
        <v/>
      </c>
    </row>
    <row r="379" spans="10:21" ht="17.25" customHeight="1" x14ac:dyDescent="0.15">
      <c r="J379" s="266"/>
      <c r="K379" s="267"/>
      <c r="L379" s="267"/>
      <c r="M379" s="268" t="s">
        <v>367</v>
      </c>
      <c r="N379" s="269" t="str">
        <f>IF(K371&amp;L371&lt;&gt;"",IF($D$27&lt;&gt;"",$D$27,""),"")</f>
        <v/>
      </c>
      <c r="O379" s="270"/>
      <c r="P379" s="271" t="str">
        <f t="shared" si="37"/>
        <v/>
      </c>
      <c r="Q379" s="272"/>
      <c r="R379" s="255">
        <f t="shared" si="42"/>
        <v>0</v>
      </c>
      <c r="S379" s="255">
        <f>IF(S371&gt;0,R379*S371,99999999)</f>
        <v>99999999</v>
      </c>
      <c r="T379" s="262" t="str">
        <f t="shared" si="40"/>
        <v/>
      </c>
      <c r="U379" s="262" t="str">
        <f t="shared" si="39"/>
        <v/>
      </c>
    </row>
    <row r="380" spans="10:21" ht="17.25" customHeight="1" x14ac:dyDescent="0.15">
      <c r="J380" s="266"/>
      <c r="K380" s="267"/>
      <c r="L380" s="267"/>
      <c r="M380" s="268" t="s">
        <v>367</v>
      </c>
      <c r="N380" s="269" t="str">
        <f>IF(K371&amp;L371&lt;&gt;"",IF($D$28&lt;&gt;"",$D$28,""),"")</f>
        <v/>
      </c>
      <c r="O380" s="270"/>
      <c r="P380" s="271" t="str">
        <f t="shared" si="37"/>
        <v/>
      </c>
      <c r="Q380" s="272"/>
      <c r="R380" s="255">
        <f t="shared" si="42"/>
        <v>0</v>
      </c>
      <c r="S380" s="255">
        <f>IF(S371&gt;0,R380*S371,99999999)</f>
        <v>99999999</v>
      </c>
      <c r="T380" s="262" t="str">
        <f t="shared" si="40"/>
        <v/>
      </c>
      <c r="U380" s="262" t="str">
        <f t="shared" si="39"/>
        <v/>
      </c>
    </row>
    <row r="381" spans="10:21" ht="17.25" customHeight="1" x14ac:dyDescent="0.15">
      <c r="J381" s="266"/>
      <c r="K381" s="267"/>
      <c r="L381" s="267"/>
      <c r="M381" s="268" t="s">
        <v>367</v>
      </c>
      <c r="N381" s="269" t="str">
        <f>IF(K371&amp;L371&lt;&gt;"",IF($D$29&lt;&gt;"",$D$29,""),"")</f>
        <v/>
      </c>
      <c r="O381" s="270"/>
      <c r="P381" s="271" t="str">
        <f t="shared" si="37"/>
        <v/>
      </c>
      <c r="Q381" s="272"/>
      <c r="R381" s="255">
        <f t="shared" si="42"/>
        <v>0</v>
      </c>
      <c r="S381" s="255">
        <f>IF(S371&gt;0,R381*S371,99999999)</f>
        <v>99999999</v>
      </c>
      <c r="T381" s="262" t="str">
        <f t="shared" si="40"/>
        <v/>
      </c>
      <c r="U381" s="262" t="str">
        <f t="shared" si="39"/>
        <v/>
      </c>
    </row>
    <row r="382" spans="10:21" ht="17.25" hidden="1" customHeight="1" outlineLevel="1" x14ac:dyDescent="0.15">
      <c r="J382" s="266"/>
      <c r="K382" s="267"/>
      <c r="L382" s="267"/>
      <c r="M382" s="268" t="s">
        <v>367</v>
      </c>
      <c r="N382" s="269" t="str">
        <f>IF(K371&amp;L371&lt;&gt;"",IF($D$30&lt;&gt;"",$D$30,""),"")</f>
        <v/>
      </c>
      <c r="O382" s="270"/>
      <c r="P382" s="271" t="str">
        <f t="shared" si="37"/>
        <v/>
      </c>
      <c r="Q382" s="272"/>
      <c r="R382" s="255">
        <f>IF(N382&lt;&gt;"",VLOOKUP(N382,$D$19:$E$34,2,FALSE),0)</f>
        <v>0</v>
      </c>
      <c r="S382" s="255">
        <f>IF(S371&gt;0,R382*S371,99999999)</f>
        <v>99999999</v>
      </c>
      <c r="T382" s="262" t="str">
        <f t="shared" si="40"/>
        <v/>
      </c>
      <c r="U382" s="262" t="str">
        <f t="shared" si="39"/>
        <v/>
      </c>
    </row>
    <row r="383" spans="10:21" ht="17.25" hidden="1" customHeight="1" outlineLevel="1" x14ac:dyDescent="0.15">
      <c r="J383" s="266"/>
      <c r="K383" s="267"/>
      <c r="L383" s="267"/>
      <c r="M383" s="268" t="s">
        <v>367</v>
      </c>
      <c r="N383" s="269" t="str">
        <f>IF(K371&amp;L371&lt;&gt;"",IF($D$31&lt;&gt;"",$D$31,""),"")</f>
        <v/>
      </c>
      <c r="O383" s="270"/>
      <c r="P383" s="271" t="str">
        <f t="shared" si="37"/>
        <v/>
      </c>
      <c r="Q383" s="272"/>
      <c r="R383" s="255">
        <f>IF(N383&lt;&gt;"",VLOOKUP(N383,$D$19:$E$34,2,FALSE),0)</f>
        <v>0</v>
      </c>
      <c r="S383" s="255">
        <f>IF(S371&gt;0,R383*S371,99999999)</f>
        <v>99999999</v>
      </c>
      <c r="T383" s="262" t="str">
        <f t="shared" si="40"/>
        <v/>
      </c>
      <c r="U383" s="262" t="str">
        <f t="shared" si="39"/>
        <v/>
      </c>
    </row>
    <row r="384" spans="10:21" ht="17.25" hidden="1" customHeight="1" outlineLevel="1" x14ac:dyDescent="0.15">
      <c r="J384" s="266"/>
      <c r="K384" s="267"/>
      <c r="L384" s="267"/>
      <c r="M384" s="268" t="s">
        <v>367</v>
      </c>
      <c r="N384" s="269" t="str">
        <f>IF(K371&amp;L371&lt;&gt;"",IF($D$32&lt;&gt;"",$D$32,""),"")</f>
        <v/>
      </c>
      <c r="O384" s="270"/>
      <c r="P384" s="271" t="str">
        <f t="shared" si="37"/>
        <v/>
      </c>
      <c r="Q384" s="272"/>
      <c r="R384" s="255">
        <f>IF(N384&lt;&gt;"",VLOOKUP(N384,$D$19:$E$34,2,FALSE),0)</f>
        <v>0</v>
      </c>
      <c r="S384" s="255">
        <f>IF(S371&gt;0,R384*S371,99999999)</f>
        <v>99999999</v>
      </c>
      <c r="T384" s="262" t="str">
        <f t="shared" si="40"/>
        <v/>
      </c>
      <c r="U384" s="262" t="str">
        <f t="shared" si="39"/>
        <v/>
      </c>
    </row>
    <row r="385" spans="10:21" ht="17.25" hidden="1" customHeight="1" outlineLevel="1" x14ac:dyDescent="0.15">
      <c r="J385" s="266"/>
      <c r="K385" s="267"/>
      <c r="L385" s="267"/>
      <c r="M385" s="268" t="s">
        <v>367</v>
      </c>
      <c r="N385" s="269" t="str">
        <f>IF(K371&amp;L371&lt;&gt;"",IF($D$33&lt;&gt;"",$D$33,""),"")</f>
        <v/>
      </c>
      <c r="O385" s="270"/>
      <c r="P385" s="271" t="str">
        <f t="shared" si="37"/>
        <v/>
      </c>
      <c r="Q385" s="272"/>
      <c r="R385" s="255">
        <f>IF(N385&lt;&gt;"",VLOOKUP(N385,$D$19:$E$34,2,FALSE),0)</f>
        <v>0</v>
      </c>
      <c r="S385" s="255">
        <f>IF(S371&gt;0,R385*S371,99999999)</f>
        <v>99999999</v>
      </c>
      <c r="T385" s="262" t="str">
        <f t="shared" si="40"/>
        <v/>
      </c>
      <c r="U385" s="262" t="str">
        <f t="shared" si="39"/>
        <v/>
      </c>
    </row>
    <row r="386" spans="10:21" ht="17.25" hidden="1" customHeight="1" outlineLevel="1" x14ac:dyDescent="0.15">
      <c r="J386" s="279"/>
      <c r="K386" s="280"/>
      <c r="L386" s="280"/>
      <c r="M386" s="281" t="s">
        <v>367</v>
      </c>
      <c r="N386" s="278" t="str">
        <f>IF(K371&amp;L371&lt;&gt;"",IF($D$34&lt;&gt;"",$D$34,""),"")</f>
        <v/>
      </c>
      <c r="O386" s="282"/>
      <c r="P386" s="271" t="str">
        <f t="shared" si="37"/>
        <v/>
      </c>
      <c r="Q386" s="283"/>
      <c r="R386" s="255">
        <f>IF(N386&lt;&gt;"",VLOOKUP(N386,$D$19:$E$34,2,FALSE),0)</f>
        <v>0</v>
      </c>
      <c r="S386" s="255">
        <f>IF(S371&gt;0,R386*S371,99999999)</f>
        <v>99999999</v>
      </c>
      <c r="T386" s="262" t="str">
        <f t="shared" si="40"/>
        <v/>
      </c>
      <c r="U386" s="262" t="str">
        <f t="shared" si="39"/>
        <v/>
      </c>
    </row>
    <row r="387" spans="10:21" ht="17.25" customHeight="1" collapsed="1" x14ac:dyDescent="0.15">
      <c r="J387" s="256">
        <v>24</v>
      </c>
      <c r="K387" s="257"/>
      <c r="L387" s="257"/>
      <c r="M387" s="258" t="s">
        <v>366</v>
      </c>
      <c r="N387" s="259" t="str">
        <f>IF(K387&amp;L387&lt;&gt;"",IF($D$19&lt;&gt;"",$D$19,""),"")</f>
        <v/>
      </c>
      <c r="O387" s="257"/>
      <c r="P387" s="260" t="str">
        <f t="shared" si="37"/>
        <v/>
      </c>
      <c r="Q387" s="261"/>
      <c r="R387" s="255">
        <f t="shared" ref="R387:R397" si="43">IF(N387&lt;&gt;"",VLOOKUP(N387,$D$19:$E$29,2,FALSE),0)</f>
        <v>0</v>
      </c>
      <c r="S387" s="255">
        <f>IF($E$19&gt;0,IF(MOD(O387,$E$19)=0,O387/$E$19,-1),-1)</f>
        <v>-1</v>
      </c>
      <c r="T387" s="262" t="str">
        <f>IF(N387&lt;&gt;"",IF(O387&lt;&gt;"",IF(S387&gt;0,"OK","数量が不足しています"),"数量が未入力です"),"")</f>
        <v/>
      </c>
      <c r="U387" s="262" t="str">
        <f t="shared" si="39"/>
        <v/>
      </c>
    </row>
    <row r="388" spans="10:21" ht="17.25" customHeight="1" x14ac:dyDescent="0.15">
      <c r="J388" s="266"/>
      <c r="K388" s="267"/>
      <c r="L388" s="267"/>
      <c r="M388" s="268" t="s">
        <v>367</v>
      </c>
      <c r="N388" s="269" t="str">
        <f>IF(K387&amp;L387&lt;&gt;"",IF($D$20&lt;&gt;"",$D$20,""),"")</f>
        <v/>
      </c>
      <c r="O388" s="270"/>
      <c r="P388" s="271" t="str">
        <f t="shared" si="37"/>
        <v/>
      </c>
      <c r="Q388" s="272"/>
      <c r="R388" s="255">
        <f t="shared" si="43"/>
        <v>0</v>
      </c>
      <c r="S388" s="255">
        <f>IF(S387&gt;0,R388*S387,99999999)</f>
        <v>99999999</v>
      </c>
      <c r="T388" s="262" t="str">
        <f t="shared" si="40"/>
        <v/>
      </c>
      <c r="U388" s="262" t="str">
        <f t="shared" si="39"/>
        <v/>
      </c>
    </row>
    <row r="389" spans="10:21" ht="17.25" customHeight="1" x14ac:dyDescent="0.15">
      <c r="J389" s="266"/>
      <c r="K389" s="267"/>
      <c r="L389" s="267"/>
      <c r="M389" s="268" t="s">
        <v>367</v>
      </c>
      <c r="N389" s="269" t="str">
        <f>IF(K387&amp;L387&lt;&gt;"",IF($D$21&lt;&gt;"",$D$21,""),"")</f>
        <v/>
      </c>
      <c r="O389" s="270"/>
      <c r="P389" s="271" t="str">
        <f t="shared" si="37"/>
        <v/>
      </c>
      <c r="Q389" s="272"/>
      <c r="R389" s="255">
        <f t="shared" si="43"/>
        <v>0</v>
      </c>
      <c r="S389" s="255">
        <f>IF(S387&gt;0,R389*S387,99999999)</f>
        <v>99999999</v>
      </c>
      <c r="T389" s="262" t="str">
        <f t="shared" si="40"/>
        <v/>
      </c>
      <c r="U389" s="262" t="str">
        <f t="shared" si="39"/>
        <v/>
      </c>
    </row>
    <row r="390" spans="10:21" ht="17.25" customHeight="1" x14ac:dyDescent="0.15">
      <c r="J390" s="266"/>
      <c r="K390" s="267"/>
      <c r="L390" s="267"/>
      <c r="M390" s="268" t="s">
        <v>367</v>
      </c>
      <c r="N390" s="269" t="str">
        <f>IF(K387&amp;L387&lt;&gt;"",IF($D$22&lt;&gt;"",$D$22,""),"")</f>
        <v/>
      </c>
      <c r="O390" s="270"/>
      <c r="P390" s="271" t="str">
        <f t="shared" si="37"/>
        <v/>
      </c>
      <c r="Q390" s="272"/>
      <c r="R390" s="255">
        <f t="shared" si="43"/>
        <v>0</v>
      </c>
      <c r="S390" s="255">
        <f>IF(S387&gt;0,R390*S387,99999999)</f>
        <v>99999999</v>
      </c>
      <c r="T390" s="262" t="str">
        <f t="shared" si="40"/>
        <v/>
      </c>
      <c r="U390" s="262" t="str">
        <f t="shared" si="39"/>
        <v/>
      </c>
    </row>
    <row r="391" spans="10:21" ht="17.25" customHeight="1" x14ac:dyDescent="0.15">
      <c r="J391" s="266"/>
      <c r="K391" s="267"/>
      <c r="L391" s="267"/>
      <c r="M391" s="268" t="s">
        <v>367</v>
      </c>
      <c r="N391" s="269" t="str">
        <f>IF(K387&amp;L387&lt;&gt;"",IF($D$23&lt;&gt;"",$D$23,""),"")</f>
        <v/>
      </c>
      <c r="O391" s="270"/>
      <c r="P391" s="271" t="str">
        <f t="shared" si="37"/>
        <v/>
      </c>
      <c r="Q391" s="272"/>
      <c r="R391" s="255">
        <f t="shared" si="43"/>
        <v>0</v>
      </c>
      <c r="S391" s="255">
        <f>IF(S387&gt;0,R391*S387,99999999)</f>
        <v>99999999</v>
      </c>
      <c r="T391" s="262" t="str">
        <f t="shared" si="40"/>
        <v/>
      </c>
      <c r="U391" s="262" t="str">
        <f t="shared" si="39"/>
        <v/>
      </c>
    </row>
    <row r="392" spans="10:21" ht="17.25" customHeight="1" x14ac:dyDescent="0.15">
      <c r="J392" s="266"/>
      <c r="K392" s="267"/>
      <c r="L392" s="267"/>
      <c r="M392" s="268" t="s">
        <v>367</v>
      </c>
      <c r="N392" s="269" t="str">
        <f>IF(K387&amp;L387&lt;&gt;"",IF($D$24&lt;&gt;"",$D$24,""),"")</f>
        <v/>
      </c>
      <c r="O392" s="270"/>
      <c r="P392" s="271" t="str">
        <f t="shared" si="37"/>
        <v/>
      </c>
      <c r="Q392" s="272"/>
      <c r="R392" s="255">
        <f t="shared" si="43"/>
        <v>0</v>
      </c>
      <c r="S392" s="255">
        <f>IF(S387&gt;0,R392*S387,99999999)</f>
        <v>99999999</v>
      </c>
      <c r="T392" s="262" t="str">
        <f t="shared" si="40"/>
        <v/>
      </c>
      <c r="U392" s="262" t="str">
        <f t="shared" si="39"/>
        <v/>
      </c>
    </row>
    <row r="393" spans="10:21" ht="17.25" customHeight="1" x14ac:dyDescent="0.15">
      <c r="J393" s="266"/>
      <c r="K393" s="267"/>
      <c r="L393" s="267"/>
      <c r="M393" s="268" t="s">
        <v>367</v>
      </c>
      <c r="N393" s="269" t="str">
        <f>IF(K387&amp;L387&lt;&gt;"",IF($D$25&lt;&gt;"",$D$25,""),"")</f>
        <v/>
      </c>
      <c r="O393" s="270"/>
      <c r="P393" s="271" t="str">
        <f t="shared" si="37"/>
        <v/>
      </c>
      <c r="Q393" s="272"/>
      <c r="R393" s="255">
        <f t="shared" si="43"/>
        <v>0</v>
      </c>
      <c r="S393" s="255">
        <f>IF(S387&gt;0,R393*S387,99999999)</f>
        <v>99999999</v>
      </c>
      <c r="T393" s="262" t="str">
        <f t="shared" si="40"/>
        <v/>
      </c>
      <c r="U393" s="262" t="str">
        <f t="shared" si="39"/>
        <v/>
      </c>
    </row>
    <row r="394" spans="10:21" ht="17.25" customHeight="1" x14ac:dyDescent="0.15">
      <c r="J394" s="266"/>
      <c r="K394" s="267"/>
      <c r="L394" s="267"/>
      <c r="M394" s="268" t="s">
        <v>367</v>
      </c>
      <c r="N394" s="269" t="str">
        <f>IF(K387&amp;L387&lt;&gt;"",IF($D$26&lt;&gt;"",$D$26,""),"")</f>
        <v/>
      </c>
      <c r="O394" s="270"/>
      <c r="P394" s="271" t="str">
        <f t="shared" si="37"/>
        <v/>
      </c>
      <c r="Q394" s="272"/>
      <c r="R394" s="255">
        <f t="shared" si="43"/>
        <v>0</v>
      </c>
      <c r="S394" s="255">
        <f>IF(S387&gt;0,R394*S387,99999999)</f>
        <v>99999999</v>
      </c>
      <c r="T394" s="262" t="str">
        <f t="shared" si="40"/>
        <v/>
      </c>
      <c r="U394" s="262" t="str">
        <f t="shared" si="39"/>
        <v/>
      </c>
    </row>
    <row r="395" spans="10:21" ht="17.25" customHeight="1" x14ac:dyDescent="0.15">
      <c r="J395" s="266"/>
      <c r="K395" s="267"/>
      <c r="L395" s="267"/>
      <c r="M395" s="268" t="s">
        <v>367</v>
      </c>
      <c r="N395" s="269" t="str">
        <f>IF(K387&amp;L387&lt;&gt;"",IF($D$27&lt;&gt;"",$D$27,""),"")</f>
        <v/>
      </c>
      <c r="O395" s="270"/>
      <c r="P395" s="271" t="str">
        <f t="shared" si="37"/>
        <v/>
      </c>
      <c r="Q395" s="272"/>
      <c r="R395" s="255">
        <f t="shared" si="43"/>
        <v>0</v>
      </c>
      <c r="S395" s="255">
        <f>IF(S387&gt;0,R395*S387,99999999)</f>
        <v>99999999</v>
      </c>
      <c r="T395" s="262" t="str">
        <f t="shared" si="40"/>
        <v/>
      </c>
      <c r="U395" s="262" t="str">
        <f t="shared" si="39"/>
        <v/>
      </c>
    </row>
    <row r="396" spans="10:21" ht="17.25" customHeight="1" x14ac:dyDescent="0.15">
      <c r="J396" s="266"/>
      <c r="K396" s="267"/>
      <c r="L396" s="267"/>
      <c r="M396" s="268" t="s">
        <v>367</v>
      </c>
      <c r="N396" s="269" t="str">
        <f>IF(K387&amp;L387&lt;&gt;"",IF($D$28&lt;&gt;"",$D$28,""),"")</f>
        <v/>
      </c>
      <c r="O396" s="270"/>
      <c r="P396" s="271" t="str">
        <f t="shared" si="37"/>
        <v/>
      </c>
      <c r="Q396" s="272"/>
      <c r="R396" s="255">
        <f t="shared" si="43"/>
        <v>0</v>
      </c>
      <c r="S396" s="255">
        <f>IF(S387&gt;0,R396*S387,99999999)</f>
        <v>99999999</v>
      </c>
      <c r="T396" s="262" t="str">
        <f t="shared" si="40"/>
        <v/>
      </c>
      <c r="U396" s="262" t="str">
        <f t="shared" si="39"/>
        <v/>
      </c>
    </row>
    <row r="397" spans="10:21" ht="17.25" customHeight="1" x14ac:dyDescent="0.15">
      <c r="J397" s="266"/>
      <c r="K397" s="267"/>
      <c r="L397" s="267"/>
      <c r="M397" s="268" t="s">
        <v>367</v>
      </c>
      <c r="N397" s="269" t="str">
        <f>IF(K387&amp;L387&lt;&gt;"",IF($D$29&lt;&gt;"",$D$29,""),"")</f>
        <v/>
      </c>
      <c r="O397" s="270"/>
      <c r="P397" s="271" t="str">
        <f t="shared" si="37"/>
        <v/>
      </c>
      <c r="Q397" s="272"/>
      <c r="R397" s="255">
        <f t="shared" si="43"/>
        <v>0</v>
      </c>
      <c r="S397" s="255">
        <f>IF(S387&gt;0,R397*S387,99999999)</f>
        <v>99999999</v>
      </c>
      <c r="T397" s="262" t="str">
        <f t="shared" si="40"/>
        <v/>
      </c>
      <c r="U397" s="262" t="str">
        <f t="shared" si="39"/>
        <v/>
      </c>
    </row>
    <row r="398" spans="10:21" ht="17.25" hidden="1" customHeight="1" outlineLevel="1" x14ac:dyDescent="0.15">
      <c r="J398" s="266"/>
      <c r="K398" s="267"/>
      <c r="L398" s="267"/>
      <c r="M398" s="268" t="s">
        <v>367</v>
      </c>
      <c r="N398" s="269" t="str">
        <f>IF(K387&amp;L387&lt;&gt;"",IF($D$30&lt;&gt;"",$D$30,""),"")</f>
        <v/>
      </c>
      <c r="O398" s="270"/>
      <c r="P398" s="271" t="str">
        <f t="shared" si="37"/>
        <v/>
      </c>
      <c r="Q398" s="272"/>
      <c r="R398" s="255">
        <f>IF(N398&lt;&gt;"",VLOOKUP(N398,$D$19:$E$34,2,FALSE),0)</f>
        <v>0</v>
      </c>
      <c r="S398" s="255">
        <f>IF(S387&gt;0,R398*S387,99999999)</f>
        <v>99999999</v>
      </c>
      <c r="T398" s="262" t="str">
        <f t="shared" si="40"/>
        <v/>
      </c>
      <c r="U398" s="262" t="str">
        <f t="shared" si="39"/>
        <v/>
      </c>
    </row>
    <row r="399" spans="10:21" ht="17.25" hidden="1" customHeight="1" outlineLevel="1" x14ac:dyDescent="0.15">
      <c r="J399" s="266"/>
      <c r="K399" s="267"/>
      <c r="L399" s="267"/>
      <c r="M399" s="268" t="s">
        <v>367</v>
      </c>
      <c r="N399" s="269" t="str">
        <f>IF(K387&amp;L387&lt;&gt;"",IF($D$31&lt;&gt;"",$D$31,""),"")</f>
        <v/>
      </c>
      <c r="O399" s="270"/>
      <c r="P399" s="271" t="str">
        <f t="shared" si="37"/>
        <v/>
      </c>
      <c r="Q399" s="272"/>
      <c r="R399" s="255">
        <f>IF(N399&lt;&gt;"",VLOOKUP(N399,$D$19:$E$34,2,FALSE),0)</f>
        <v>0</v>
      </c>
      <c r="S399" s="255">
        <f>IF(S387&gt;0,R399*S387,99999999)</f>
        <v>99999999</v>
      </c>
      <c r="T399" s="262" t="str">
        <f t="shared" si="40"/>
        <v/>
      </c>
      <c r="U399" s="262" t="str">
        <f t="shared" si="39"/>
        <v/>
      </c>
    </row>
    <row r="400" spans="10:21" ht="17.25" hidden="1" customHeight="1" outlineLevel="1" x14ac:dyDescent="0.15">
      <c r="J400" s="266"/>
      <c r="K400" s="267"/>
      <c r="L400" s="267"/>
      <c r="M400" s="268" t="s">
        <v>367</v>
      </c>
      <c r="N400" s="269" t="str">
        <f>IF(K387&amp;L387&lt;&gt;"",IF($D$32&lt;&gt;"",$D$32,""),"")</f>
        <v/>
      </c>
      <c r="O400" s="270"/>
      <c r="P400" s="271" t="str">
        <f t="shared" si="37"/>
        <v/>
      </c>
      <c r="Q400" s="272"/>
      <c r="R400" s="255">
        <f>IF(N400&lt;&gt;"",VLOOKUP(N400,$D$19:$E$34,2,FALSE),0)</f>
        <v>0</v>
      </c>
      <c r="S400" s="255">
        <f>IF(S387&gt;0,R400*S387,99999999)</f>
        <v>99999999</v>
      </c>
      <c r="T400" s="262" t="str">
        <f t="shared" si="40"/>
        <v/>
      </c>
      <c r="U400" s="262" t="str">
        <f t="shared" si="39"/>
        <v/>
      </c>
    </row>
    <row r="401" spans="10:21" ht="17.25" hidden="1" customHeight="1" outlineLevel="1" x14ac:dyDescent="0.15">
      <c r="J401" s="266"/>
      <c r="K401" s="267"/>
      <c r="L401" s="267"/>
      <c r="M401" s="268" t="s">
        <v>367</v>
      </c>
      <c r="N401" s="269" t="str">
        <f>IF(K387&amp;L387&lt;&gt;"",IF($D$33&lt;&gt;"",$D$33,""),"")</f>
        <v/>
      </c>
      <c r="O401" s="270"/>
      <c r="P401" s="271" t="str">
        <f t="shared" si="37"/>
        <v/>
      </c>
      <c r="Q401" s="272"/>
      <c r="R401" s="255">
        <f>IF(N401&lt;&gt;"",VLOOKUP(N401,$D$19:$E$34,2,FALSE),0)</f>
        <v>0</v>
      </c>
      <c r="S401" s="255">
        <f>IF(S387&gt;0,R401*S387,99999999)</f>
        <v>99999999</v>
      </c>
      <c r="T401" s="262" t="str">
        <f t="shared" si="40"/>
        <v/>
      </c>
      <c r="U401" s="262" t="str">
        <f t="shared" si="39"/>
        <v/>
      </c>
    </row>
    <row r="402" spans="10:21" ht="17.25" hidden="1" customHeight="1" outlineLevel="1" x14ac:dyDescent="0.15">
      <c r="J402" s="279"/>
      <c r="K402" s="280"/>
      <c r="L402" s="280"/>
      <c r="M402" s="281" t="s">
        <v>367</v>
      </c>
      <c r="N402" s="278" t="str">
        <f>IF(K387&amp;L387&lt;&gt;"",IF($D$34&lt;&gt;"",$D$34,""),"")</f>
        <v/>
      </c>
      <c r="O402" s="282"/>
      <c r="P402" s="271" t="str">
        <f t="shared" si="37"/>
        <v/>
      </c>
      <c r="Q402" s="283"/>
      <c r="R402" s="255">
        <f>IF(N402&lt;&gt;"",VLOOKUP(N402,$D$19:$E$34,2,FALSE),0)</f>
        <v>0</v>
      </c>
      <c r="S402" s="255">
        <f>IF(S387&gt;0,R402*S387,99999999)</f>
        <v>99999999</v>
      </c>
      <c r="T402" s="262" t="str">
        <f t="shared" si="40"/>
        <v/>
      </c>
      <c r="U402" s="262" t="str">
        <f t="shared" si="39"/>
        <v/>
      </c>
    </row>
    <row r="403" spans="10:21" ht="17.25" customHeight="1" collapsed="1" x14ac:dyDescent="0.15">
      <c r="J403" s="256">
        <v>25</v>
      </c>
      <c r="K403" s="257"/>
      <c r="L403" s="257"/>
      <c r="M403" s="258" t="s">
        <v>366</v>
      </c>
      <c r="N403" s="259" t="str">
        <f>IF(K403&amp;L403&lt;&gt;"",IF($D$19&lt;&gt;"",$D$19,""),"")</f>
        <v/>
      </c>
      <c r="O403" s="257"/>
      <c r="P403" s="260" t="str">
        <f t="shared" ref="P403:P466" si="44">IF(ISERROR(ROUND(Q403/O403,0)),"",ROUND(Q403/O403,0))</f>
        <v/>
      </c>
      <c r="Q403" s="261"/>
      <c r="R403" s="255">
        <f t="shared" ref="R403:R413" si="45">IF(N403&lt;&gt;"",VLOOKUP(N403,$D$19:$E$29,2,FALSE),0)</f>
        <v>0</v>
      </c>
      <c r="S403" s="255">
        <f>IF($E$19&gt;0,IF(MOD(O403,$E$19)=0,O403/$E$19,-1),-1)</f>
        <v>-1</v>
      </c>
      <c r="T403" s="262" t="str">
        <f>IF(N403&lt;&gt;"",IF(O403&lt;&gt;"",IF(S403&gt;0,"OK","数量が不足しています"),"数量が未入力です"),"")</f>
        <v/>
      </c>
      <c r="U403" s="262" t="str">
        <f t="shared" ref="U403:U466" si="46">IF(O403&lt;&gt;"",IF(Q403&lt;&gt;"","OK","未入力です"),"")</f>
        <v/>
      </c>
    </row>
    <row r="404" spans="10:21" ht="17.25" customHeight="1" x14ac:dyDescent="0.15">
      <c r="J404" s="266"/>
      <c r="K404" s="267"/>
      <c r="L404" s="267"/>
      <c r="M404" s="268" t="s">
        <v>367</v>
      </c>
      <c r="N404" s="269" t="str">
        <f>IF(K403&amp;L403&lt;&gt;"",IF($D$20&lt;&gt;"",$D$20,""),"")</f>
        <v/>
      </c>
      <c r="O404" s="270"/>
      <c r="P404" s="271" t="str">
        <f t="shared" si="44"/>
        <v/>
      </c>
      <c r="Q404" s="272"/>
      <c r="R404" s="255">
        <f t="shared" si="45"/>
        <v>0</v>
      </c>
      <c r="S404" s="255">
        <f>IF(S403&gt;0,R404*S403,99999999)</f>
        <v>99999999</v>
      </c>
      <c r="T404" s="262" t="str">
        <f t="shared" ref="T404:T466" si="47">IF(N404&lt;&gt;"",IF(O404&lt;&gt;"",IF(O404&gt;=S404,"OK","数量が不足しています"),"数量が未入力です"),"")</f>
        <v/>
      </c>
      <c r="U404" s="262" t="str">
        <f t="shared" si="46"/>
        <v/>
      </c>
    </row>
    <row r="405" spans="10:21" ht="17.25" customHeight="1" x14ac:dyDescent="0.15">
      <c r="J405" s="266"/>
      <c r="K405" s="267"/>
      <c r="L405" s="267"/>
      <c r="M405" s="268" t="s">
        <v>367</v>
      </c>
      <c r="N405" s="269" t="str">
        <f>IF(K403&amp;L403&lt;&gt;"",IF($D$21&lt;&gt;"",$D$21,""),"")</f>
        <v/>
      </c>
      <c r="O405" s="270"/>
      <c r="P405" s="271" t="str">
        <f t="shared" si="44"/>
        <v/>
      </c>
      <c r="Q405" s="272"/>
      <c r="R405" s="255">
        <f t="shared" si="45"/>
        <v>0</v>
      </c>
      <c r="S405" s="255">
        <f>IF(S403&gt;0,R405*S403,99999999)</f>
        <v>99999999</v>
      </c>
      <c r="T405" s="262" t="str">
        <f t="shared" si="47"/>
        <v/>
      </c>
      <c r="U405" s="262" t="str">
        <f t="shared" si="46"/>
        <v/>
      </c>
    </row>
    <row r="406" spans="10:21" ht="17.25" customHeight="1" x14ac:dyDescent="0.15">
      <c r="J406" s="266"/>
      <c r="K406" s="267"/>
      <c r="L406" s="267"/>
      <c r="M406" s="268" t="s">
        <v>367</v>
      </c>
      <c r="N406" s="269" t="str">
        <f>IF(K403&amp;L403&lt;&gt;"",IF($D$22&lt;&gt;"",$D$22,""),"")</f>
        <v/>
      </c>
      <c r="O406" s="270"/>
      <c r="P406" s="271" t="str">
        <f t="shared" si="44"/>
        <v/>
      </c>
      <c r="Q406" s="272"/>
      <c r="R406" s="255">
        <f t="shared" si="45"/>
        <v>0</v>
      </c>
      <c r="S406" s="255">
        <f>IF(S403&gt;0,R406*S403,99999999)</f>
        <v>99999999</v>
      </c>
      <c r="T406" s="262" t="str">
        <f t="shared" si="47"/>
        <v/>
      </c>
      <c r="U406" s="262" t="str">
        <f t="shared" si="46"/>
        <v/>
      </c>
    </row>
    <row r="407" spans="10:21" ht="17.25" customHeight="1" x14ac:dyDescent="0.15">
      <c r="J407" s="266"/>
      <c r="K407" s="267"/>
      <c r="L407" s="267"/>
      <c r="M407" s="268" t="s">
        <v>367</v>
      </c>
      <c r="N407" s="269" t="str">
        <f>IF(K403&amp;L403&lt;&gt;"",IF($D$23&lt;&gt;"",$D$23,""),"")</f>
        <v/>
      </c>
      <c r="O407" s="270"/>
      <c r="P407" s="271" t="str">
        <f t="shared" si="44"/>
        <v/>
      </c>
      <c r="Q407" s="272"/>
      <c r="R407" s="255">
        <f t="shared" si="45"/>
        <v>0</v>
      </c>
      <c r="S407" s="255">
        <f>IF(S403&gt;0,R407*S403,99999999)</f>
        <v>99999999</v>
      </c>
      <c r="T407" s="262" t="str">
        <f t="shared" si="47"/>
        <v/>
      </c>
      <c r="U407" s="262" t="str">
        <f t="shared" si="46"/>
        <v/>
      </c>
    </row>
    <row r="408" spans="10:21" ht="17.25" customHeight="1" x14ac:dyDescent="0.15">
      <c r="J408" s="266"/>
      <c r="K408" s="267"/>
      <c r="L408" s="267"/>
      <c r="M408" s="268" t="s">
        <v>367</v>
      </c>
      <c r="N408" s="269" t="str">
        <f>IF(K403&amp;L403&lt;&gt;"",IF($D$24&lt;&gt;"",$D$24,""),"")</f>
        <v/>
      </c>
      <c r="O408" s="270"/>
      <c r="P408" s="271" t="str">
        <f t="shared" si="44"/>
        <v/>
      </c>
      <c r="Q408" s="272"/>
      <c r="R408" s="255">
        <f t="shared" si="45"/>
        <v>0</v>
      </c>
      <c r="S408" s="255">
        <f>IF(S403&gt;0,R408*S403,99999999)</f>
        <v>99999999</v>
      </c>
      <c r="T408" s="262" t="str">
        <f t="shared" si="47"/>
        <v/>
      </c>
      <c r="U408" s="262" t="str">
        <f t="shared" si="46"/>
        <v/>
      </c>
    </row>
    <row r="409" spans="10:21" ht="17.25" customHeight="1" x14ac:dyDescent="0.15">
      <c r="J409" s="266"/>
      <c r="K409" s="267"/>
      <c r="L409" s="267"/>
      <c r="M409" s="268" t="s">
        <v>367</v>
      </c>
      <c r="N409" s="269" t="str">
        <f>IF(K403&amp;L403&lt;&gt;"",IF($D$25&lt;&gt;"",$D$25,""),"")</f>
        <v/>
      </c>
      <c r="O409" s="270"/>
      <c r="P409" s="271" t="str">
        <f t="shared" si="44"/>
        <v/>
      </c>
      <c r="Q409" s="272"/>
      <c r="R409" s="255">
        <f t="shared" si="45"/>
        <v>0</v>
      </c>
      <c r="S409" s="255">
        <f>IF(S403&gt;0,R409*S403,99999999)</f>
        <v>99999999</v>
      </c>
      <c r="T409" s="262" t="str">
        <f t="shared" si="47"/>
        <v/>
      </c>
      <c r="U409" s="262" t="str">
        <f t="shared" si="46"/>
        <v/>
      </c>
    </row>
    <row r="410" spans="10:21" ht="17.25" customHeight="1" x14ac:dyDescent="0.15">
      <c r="J410" s="266"/>
      <c r="K410" s="267"/>
      <c r="L410" s="267"/>
      <c r="M410" s="268" t="s">
        <v>367</v>
      </c>
      <c r="N410" s="269" t="str">
        <f>IF(K403&amp;L403&lt;&gt;"",IF($D$26&lt;&gt;"",$D$26,""),"")</f>
        <v/>
      </c>
      <c r="O410" s="270"/>
      <c r="P410" s="271" t="str">
        <f t="shared" si="44"/>
        <v/>
      </c>
      <c r="Q410" s="272"/>
      <c r="R410" s="255">
        <f t="shared" si="45"/>
        <v>0</v>
      </c>
      <c r="S410" s="255">
        <f>IF(S403&gt;0,R410*S403,99999999)</f>
        <v>99999999</v>
      </c>
      <c r="T410" s="262" t="str">
        <f t="shared" si="47"/>
        <v/>
      </c>
      <c r="U410" s="262" t="str">
        <f t="shared" si="46"/>
        <v/>
      </c>
    </row>
    <row r="411" spans="10:21" ht="17.25" customHeight="1" x14ac:dyDescent="0.15">
      <c r="J411" s="266"/>
      <c r="K411" s="267"/>
      <c r="L411" s="267"/>
      <c r="M411" s="268" t="s">
        <v>367</v>
      </c>
      <c r="N411" s="269" t="str">
        <f>IF(K403&amp;L403&lt;&gt;"",IF($D$27&lt;&gt;"",$D$27,""),"")</f>
        <v/>
      </c>
      <c r="O411" s="270"/>
      <c r="P411" s="271" t="str">
        <f t="shared" si="44"/>
        <v/>
      </c>
      <c r="Q411" s="272"/>
      <c r="R411" s="255">
        <f t="shared" si="45"/>
        <v>0</v>
      </c>
      <c r="S411" s="255">
        <f>IF(S403&gt;0,R411*S403,99999999)</f>
        <v>99999999</v>
      </c>
      <c r="T411" s="262" t="str">
        <f t="shared" si="47"/>
        <v/>
      </c>
      <c r="U411" s="262" t="str">
        <f t="shared" si="46"/>
        <v/>
      </c>
    </row>
    <row r="412" spans="10:21" ht="17.25" customHeight="1" x14ac:dyDescent="0.15">
      <c r="J412" s="266"/>
      <c r="K412" s="267"/>
      <c r="L412" s="267"/>
      <c r="M412" s="268" t="s">
        <v>367</v>
      </c>
      <c r="N412" s="269" t="str">
        <f>IF(K403&amp;L403&lt;&gt;"",IF($D$28&lt;&gt;"",$D$28,""),"")</f>
        <v/>
      </c>
      <c r="O412" s="270"/>
      <c r="P412" s="271" t="str">
        <f t="shared" si="44"/>
        <v/>
      </c>
      <c r="Q412" s="272"/>
      <c r="R412" s="255">
        <f t="shared" si="45"/>
        <v>0</v>
      </c>
      <c r="S412" s="255">
        <f>IF(S403&gt;0,R412*S403,99999999)</f>
        <v>99999999</v>
      </c>
      <c r="T412" s="262" t="str">
        <f t="shared" si="47"/>
        <v/>
      </c>
      <c r="U412" s="262" t="str">
        <f t="shared" si="46"/>
        <v/>
      </c>
    </row>
    <row r="413" spans="10:21" ht="17.25" customHeight="1" x14ac:dyDescent="0.15">
      <c r="J413" s="266"/>
      <c r="K413" s="267"/>
      <c r="L413" s="267"/>
      <c r="M413" s="268" t="s">
        <v>367</v>
      </c>
      <c r="N413" s="269" t="str">
        <f>IF(K403&amp;L403&lt;&gt;"",IF($D$29&lt;&gt;"",$D$29,""),"")</f>
        <v/>
      </c>
      <c r="O413" s="270"/>
      <c r="P413" s="271" t="str">
        <f t="shared" si="44"/>
        <v/>
      </c>
      <c r="Q413" s="272"/>
      <c r="R413" s="255">
        <f t="shared" si="45"/>
        <v>0</v>
      </c>
      <c r="S413" s="255">
        <f>IF(S403&gt;0,R413*S403,99999999)</f>
        <v>99999999</v>
      </c>
      <c r="T413" s="262" t="str">
        <f t="shared" si="47"/>
        <v/>
      </c>
      <c r="U413" s="262" t="str">
        <f t="shared" si="46"/>
        <v/>
      </c>
    </row>
    <row r="414" spans="10:21" ht="17.25" hidden="1" customHeight="1" outlineLevel="1" x14ac:dyDescent="0.15">
      <c r="J414" s="266"/>
      <c r="K414" s="267"/>
      <c r="L414" s="267"/>
      <c r="M414" s="268" t="s">
        <v>367</v>
      </c>
      <c r="N414" s="269" t="str">
        <f>IF(K403&amp;L403&lt;&gt;"",IF($D$30&lt;&gt;"",$D$30,""),"")</f>
        <v/>
      </c>
      <c r="O414" s="270"/>
      <c r="P414" s="271" t="str">
        <f t="shared" si="44"/>
        <v/>
      </c>
      <c r="Q414" s="272"/>
      <c r="R414" s="255">
        <f>IF(N414&lt;&gt;"",VLOOKUP(N414,$D$19:$E$34,2,FALSE),0)</f>
        <v>0</v>
      </c>
      <c r="S414" s="255">
        <f>IF(S403&gt;0,R414*S403,99999999)</f>
        <v>99999999</v>
      </c>
      <c r="T414" s="262" t="str">
        <f t="shared" si="47"/>
        <v/>
      </c>
      <c r="U414" s="262" t="str">
        <f t="shared" si="46"/>
        <v/>
      </c>
    </row>
    <row r="415" spans="10:21" ht="17.25" hidden="1" customHeight="1" outlineLevel="1" x14ac:dyDescent="0.15">
      <c r="J415" s="266"/>
      <c r="K415" s="267"/>
      <c r="L415" s="267"/>
      <c r="M415" s="268" t="s">
        <v>367</v>
      </c>
      <c r="N415" s="269" t="str">
        <f>IF(K403&amp;L403&lt;&gt;"",IF($D$31&lt;&gt;"",$D$31,""),"")</f>
        <v/>
      </c>
      <c r="O415" s="270"/>
      <c r="P415" s="271" t="str">
        <f t="shared" si="44"/>
        <v/>
      </c>
      <c r="Q415" s="272"/>
      <c r="R415" s="255">
        <f>IF(N415&lt;&gt;"",VLOOKUP(N415,$D$19:$E$34,2,FALSE),0)</f>
        <v>0</v>
      </c>
      <c r="S415" s="255">
        <f>IF(S403&gt;0,R415*S403,99999999)</f>
        <v>99999999</v>
      </c>
      <c r="T415" s="262" t="str">
        <f t="shared" si="47"/>
        <v/>
      </c>
      <c r="U415" s="262" t="str">
        <f t="shared" si="46"/>
        <v/>
      </c>
    </row>
    <row r="416" spans="10:21" ht="17.25" hidden="1" customHeight="1" outlineLevel="1" x14ac:dyDescent="0.15">
      <c r="J416" s="266"/>
      <c r="K416" s="267"/>
      <c r="L416" s="267"/>
      <c r="M416" s="268" t="s">
        <v>367</v>
      </c>
      <c r="N416" s="269" t="str">
        <f>IF(K403&amp;L403&lt;&gt;"",IF($D$32&lt;&gt;"",$D$32,""),"")</f>
        <v/>
      </c>
      <c r="O416" s="270"/>
      <c r="P416" s="271" t="str">
        <f t="shared" si="44"/>
        <v/>
      </c>
      <c r="Q416" s="272"/>
      <c r="R416" s="255">
        <f>IF(N416&lt;&gt;"",VLOOKUP(N416,$D$19:$E$34,2,FALSE),0)</f>
        <v>0</v>
      </c>
      <c r="S416" s="255">
        <f>IF(S403&gt;0,R416*S403,99999999)</f>
        <v>99999999</v>
      </c>
      <c r="T416" s="262" t="str">
        <f t="shared" si="47"/>
        <v/>
      </c>
      <c r="U416" s="262" t="str">
        <f t="shared" si="46"/>
        <v/>
      </c>
    </row>
    <row r="417" spans="10:21" ht="17.25" hidden="1" customHeight="1" outlineLevel="1" x14ac:dyDescent="0.15">
      <c r="J417" s="266"/>
      <c r="K417" s="267"/>
      <c r="L417" s="267"/>
      <c r="M417" s="268" t="s">
        <v>367</v>
      </c>
      <c r="N417" s="269" t="str">
        <f>IF(K403&amp;L403&lt;&gt;"",IF($D$33&lt;&gt;"",$D$33,""),"")</f>
        <v/>
      </c>
      <c r="O417" s="270"/>
      <c r="P417" s="271" t="str">
        <f t="shared" si="44"/>
        <v/>
      </c>
      <c r="Q417" s="272"/>
      <c r="R417" s="255">
        <f>IF(N417&lt;&gt;"",VLOOKUP(N417,$D$19:$E$34,2,FALSE),0)</f>
        <v>0</v>
      </c>
      <c r="S417" s="255">
        <f>IF(S403&gt;0,R417*S403,99999999)</f>
        <v>99999999</v>
      </c>
      <c r="T417" s="262" t="str">
        <f t="shared" si="47"/>
        <v/>
      </c>
      <c r="U417" s="262" t="str">
        <f t="shared" si="46"/>
        <v/>
      </c>
    </row>
    <row r="418" spans="10:21" ht="17.25" hidden="1" customHeight="1" outlineLevel="1" x14ac:dyDescent="0.15">
      <c r="J418" s="279"/>
      <c r="K418" s="280"/>
      <c r="L418" s="280"/>
      <c r="M418" s="281" t="s">
        <v>367</v>
      </c>
      <c r="N418" s="278" t="str">
        <f>IF(K403&amp;L403&lt;&gt;"",IF($D$34&lt;&gt;"",$D$34,""),"")</f>
        <v/>
      </c>
      <c r="O418" s="282"/>
      <c r="P418" s="271" t="str">
        <f t="shared" si="44"/>
        <v/>
      </c>
      <c r="Q418" s="283"/>
      <c r="R418" s="255">
        <f>IF(N418&lt;&gt;"",VLOOKUP(N418,$D$19:$E$34,2,FALSE),0)</f>
        <v>0</v>
      </c>
      <c r="S418" s="255">
        <f>IF(S403&gt;0,R418*S403,99999999)</f>
        <v>99999999</v>
      </c>
      <c r="T418" s="262" t="str">
        <f t="shared" si="47"/>
        <v/>
      </c>
      <c r="U418" s="262" t="str">
        <f t="shared" si="46"/>
        <v/>
      </c>
    </row>
    <row r="419" spans="10:21" ht="17.25" customHeight="1" collapsed="1" x14ac:dyDescent="0.15">
      <c r="J419" s="256">
        <v>26</v>
      </c>
      <c r="K419" s="257"/>
      <c r="L419" s="257"/>
      <c r="M419" s="258" t="s">
        <v>366</v>
      </c>
      <c r="N419" s="259" t="str">
        <f>IF(K419&amp;L419&lt;&gt;"",IF($D$19&lt;&gt;"",$D$19,""),"")</f>
        <v/>
      </c>
      <c r="O419" s="257"/>
      <c r="P419" s="260" t="str">
        <f t="shared" si="44"/>
        <v/>
      </c>
      <c r="Q419" s="261"/>
      <c r="R419" s="255">
        <f t="shared" ref="R419:R429" si="48">IF(N419&lt;&gt;"",VLOOKUP(N419,$D$19:$E$29,2,FALSE),0)</f>
        <v>0</v>
      </c>
      <c r="S419" s="255">
        <f>IF($E$19&gt;0,IF(MOD(O419,$E$19)=0,O419/$E$19,-1),-1)</f>
        <v>-1</v>
      </c>
      <c r="T419" s="262" t="str">
        <f>IF(N419&lt;&gt;"",IF(O419&lt;&gt;"",IF(S419&gt;0,"OK","数量が不足しています"),"数量が未入力です"),"")</f>
        <v/>
      </c>
      <c r="U419" s="262" t="str">
        <f t="shared" si="46"/>
        <v/>
      </c>
    </row>
    <row r="420" spans="10:21" ht="17.25" customHeight="1" x14ac:dyDescent="0.15">
      <c r="J420" s="266"/>
      <c r="K420" s="267"/>
      <c r="L420" s="267"/>
      <c r="M420" s="268" t="s">
        <v>367</v>
      </c>
      <c r="N420" s="269" t="str">
        <f>IF(K419&amp;L419&lt;&gt;"",IF($D$20&lt;&gt;"",$D$20,""),"")</f>
        <v/>
      </c>
      <c r="O420" s="270"/>
      <c r="P420" s="271" t="str">
        <f t="shared" si="44"/>
        <v/>
      </c>
      <c r="Q420" s="272"/>
      <c r="R420" s="255">
        <f t="shared" si="48"/>
        <v>0</v>
      </c>
      <c r="S420" s="255">
        <f>IF(S419&gt;0,R420*S419,99999999)</f>
        <v>99999999</v>
      </c>
      <c r="T420" s="262" t="str">
        <f t="shared" si="47"/>
        <v/>
      </c>
      <c r="U420" s="262" t="str">
        <f t="shared" si="46"/>
        <v/>
      </c>
    </row>
    <row r="421" spans="10:21" ht="17.25" customHeight="1" x14ac:dyDescent="0.15">
      <c r="J421" s="266"/>
      <c r="K421" s="267"/>
      <c r="L421" s="267"/>
      <c r="M421" s="268" t="s">
        <v>367</v>
      </c>
      <c r="N421" s="269" t="str">
        <f>IF(K419&amp;L419&lt;&gt;"",IF($D$21&lt;&gt;"",$D$21,""),"")</f>
        <v/>
      </c>
      <c r="O421" s="270"/>
      <c r="P421" s="271" t="str">
        <f t="shared" si="44"/>
        <v/>
      </c>
      <c r="Q421" s="272"/>
      <c r="R421" s="255">
        <f t="shared" si="48"/>
        <v>0</v>
      </c>
      <c r="S421" s="255">
        <f>IF(S419&gt;0,R421*S419,99999999)</f>
        <v>99999999</v>
      </c>
      <c r="T421" s="262" t="str">
        <f t="shared" si="47"/>
        <v/>
      </c>
      <c r="U421" s="262" t="str">
        <f t="shared" si="46"/>
        <v/>
      </c>
    </row>
    <row r="422" spans="10:21" ht="17.25" customHeight="1" x14ac:dyDescent="0.15">
      <c r="J422" s="266"/>
      <c r="K422" s="267"/>
      <c r="L422" s="267"/>
      <c r="M422" s="268" t="s">
        <v>367</v>
      </c>
      <c r="N422" s="269" t="str">
        <f>IF(K419&amp;L419&lt;&gt;"",IF($D$22&lt;&gt;"",$D$22,""),"")</f>
        <v/>
      </c>
      <c r="O422" s="270"/>
      <c r="P422" s="271" t="str">
        <f t="shared" si="44"/>
        <v/>
      </c>
      <c r="Q422" s="272"/>
      <c r="R422" s="255">
        <f t="shared" si="48"/>
        <v>0</v>
      </c>
      <c r="S422" s="255">
        <f>IF(S419&gt;0,R422*S419,99999999)</f>
        <v>99999999</v>
      </c>
      <c r="T422" s="262" t="str">
        <f t="shared" si="47"/>
        <v/>
      </c>
      <c r="U422" s="262" t="str">
        <f t="shared" si="46"/>
        <v/>
      </c>
    </row>
    <row r="423" spans="10:21" ht="17.25" customHeight="1" x14ac:dyDescent="0.15">
      <c r="J423" s="266"/>
      <c r="K423" s="267"/>
      <c r="L423" s="267"/>
      <c r="M423" s="268" t="s">
        <v>367</v>
      </c>
      <c r="N423" s="269" t="str">
        <f>IF(K419&amp;L419&lt;&gt;"",IF($D$23&lt;&gt;"",$D$23,""),"")</f>
        <v/>
      </c>
      <c r="O423" s="270"/>
      <c r="P423" s="271" t="str">
        <f t="shared" si="44"/>
        <v/>
      </c>
      <c r="Q423" s="272"/>
      <c r="R423" s="255">
        <f t="shared" si="48"/>
        <v>0</v>
      </c>
      <c r="S423" s="255">
        <f>IF(S419&gt;0,R423*S419,99999999)</f>
        <v>99999999</v>
      </c>
      <c r="T423" s="262" t="str">
        <f t="shared" si="47"/>
        <v/>
      </c>
      <c r="U423" s="262" t="str">
        <f t="shared" si="46"/>
        <v/>
      </c>
    </row>
    <row r="424" spans="10:21" ht="17.25" customHeight="1" x14ac:dyDescent="0.15">
      <c r="J424" s="266"/>
      <c r="K424" s="267"/>
      <c r="L424" s="267"/>
      <c r="M424" s="268" t="s">
        <v>367</v>
      </c>
      <c r="N424" s="269" t="str">
        <f>IF(K419&amp;L419&lt;&gt;"",IF($D$24&lt;&gt;"",$D$24,""),"")</f>
        <v/>
      </c>
      <c r="O424" s="270"/>
      <c r="P424" s="271" t="str">
        <f t="shared" si="44"/>
        <v/>
      </c>
      <c r="Q424" s="272"/>
      <c r="R424" s="255">
        <f t="shared" si="48"/>
        <v>0</v>
      </c>
      <c r="S424" s="255">
        <f>IF(S419&gt;0,R424*S419,99999999)</f>
        <v>99999999</v>
      </c>
      <c r="T424" s="262" t="str">
        <f t="shared" si="47"/>
        <v/>
      </c>
      <c r="U424" s="262" t="str">
        <f t="shared" si="46"/>
        <v/>
      </c>
    </row>
    <row r="425" spans="10:21" ht="17.25" customHeight="1" x14ac:dyDescent="0.15">
      <c r="J425" s="266"/>
      <c r="K425" s="267"/>
      <c r="L425" s="267"/>
      <c r="M425" s="268" t="s">
        <v>367</v>
      </c>
      <c r="N425" s="269" t="str">
        <f>IF(K419&amp;L419&lt;&gt;"",IF($D$25&lt;&gt;"",$D$25,""),"")</f>
        <v/>
      </c>
      <c r="O425" s="270"/>
      <c r="P425" s="271" t="str">
        <f t="shared" si="44"/>
        <v/>
      </c>
      <c r="Q425" s="272"/>
      <c r="R425" s="255">
        <f t="shared" si="48"/>
        <v>0</v>
      </c>
      <c r="S425" s="255">
        <f>IF(S419&gt;0,R425*S419,99999999)</f>
        <v>99999999</v>
      </c>
      <c r="T425" s="262" t="str">
        <f t="shared" si="47"/>
        <v/>
      </c>
      <c r="U425" s="262" t="str">
        <f t="shared" si="46"/>
        <v/>
      </c>
    </row>
    <row r="426" spans="10:21" ht="17.25" customHeight="1" x14ac:dyDescent="0.15">
      <c r="J426" s="266"/>
      <c r="K426" s="267"/>
      <c r="L426" s="267"/>
      <c r="M426" s="268" t="s">
        <v>367</v>
      </c>
      <c r="N426" s="269" t="str">
        <f>IF(K419&amp;L419&lt;&gt;"",IF($D$26&lt;&gt;"",$D$26,""),"")</f>
        <v/>
      </c>
      <c r="O426" s="270"/>
      <c r="P426" s="271" t="str">
        <f t="shared" si="44"/>
        <v/>
      </c>
      <c r="Q426" s="272"/>
      <c r="R426" s="255">
        <f t="shared" si="48"/>
        <v>0</v>
      </c>
      <c r="S426" s="255">
        <f>IF(S419&gt;0,R426*S419,99999999)</f>
        <v>99999999</v>
      </c>
      <c r="T426" s="262" t="str">
        <f t="shared" si="47"/>
        <v/>
      </c>
      <c r="U426" s="262" t="str">
        <f t="shared" si="46"/>
        <v/>
      </c>
    </row>
    <row r="427" spans="10:21" ht="17.25" customHeight="1" x14ac:dyDescent="0.15">
      <c r="J427" s="266"/>
      <c r="K427" s="267"/>
      <c r="L427" s="267"/>
      <c r="M427" s="268" t="s">
        <v>367</v>
      </c>
      <c r="N427" s="269" t="str">
        <f>IF(K419&amp;L419&lt;&gt;"",IF($D$27&lt;&gt;"",$D$27,""),"")</f>
        <v/>
      </c>
      <c r="O427" s="270"/>
      <c r="P427" s="271" t="str">
        <f t="shared" si="44"/>
        <v/>
      </c>
      <c r="Q427" s="272"/>
      <c r="R427" s="255">
        <f t="shared" si="48"/>
        <v>0</v>
      </c>
      <c r="S427" s="255">
        <f>IF(S419&gt;0,R427*S419,99999999)</f>
        <v>99999999</v>
      </c>
      <c r="T427" s="262" t="str">
        <f t="shared" si="47"/>
        <v/>
      </c>
      <c r="U427" s="262" t="str">
        <f t="shared" si="46"/>
        <v/>
      </c>
    </row>
    <row r="428" spans="10:21" ht="17.25" customHeight="1" x14ac:dyDescent="0.15">
      <c r="J428" s="266"/>
      <c r="K428" s="267"/>
      <c r="L428" s="267"/>
      <c r="M428" s="268" t="s">
        <v>367</v>
      </c>
      <c r="N428" s="269" t="str">
        <f>IF(K419&amp;L419&lt;&gt;"",IF($D$28&lt;&gt;"",$D$28,""),"")</f>
        <v/>
      </c>
      <c r="O428" s="270"/>
      <c r="P428" s="271" t="str">
        <f t="shared" si="44"/>
        <v/>
      </c>
      <c r="Q428" s="272"/>
      <c r="R428" s="255">
        <f t="shared" si="48"/>
        <v>0</v>
      </c>
      <c r="S428" s="255">
        <f>IF(S419&gt;0,R428*S419,99999999)</f>
        <v>99999999</v>
      </c>
      <c r="T428" s="262" t="str">
        <f t="shared" si="47"/>
        <v/>
      </c>
      <c r="U428" s="262" t="str">
        <f t="shared" si="46"/>
        <v/>
      </c>
    </row>
    <row r="429" spans="10:21" ht="17.25" customHeight="1" x14ac:dyDescent="0.15">
      <c r="J429" s="266"/>
      <c r="K429" s="267"/>
      <c r="L429" s="267"/>
      <c r="M429" s="268" t="s">
        <v>367</v>
      </c>
      <c r="N429" s="269" t="str">
        <f>IF(K419&amp;L419&lt;&gt;"",IF($D$29&lt;&gt;"",$D$29,""),"")</f>
        <v/>
      </c>
      <c r="O429" s="270"/>
      <c r="P429" s="271" t="str">
        <f t="shared" si="44"/>
        <v/>
      </c>
      <c r="Q429" s="272"/>
      <c r="R429" s="255">
        <f t="shared" si="48"/>
        <v>0</v>
      </c>
      <c r="S429" s="255">
        <f>IF(S419&gt;0,R429*S419,99999999)</f>
        <v>99999999</v>
      </c>
      <c r="T429" s="262" t="str">
        <f t="shared" si="47"/>
        <v/>
      </c>
      <c r="U429" s="262" t="str">
        <f t="shared" si="46"/>
        <v/>
      </c>
    </row>
    <row r="430" spans="10:21" ht="17.25" hidden="1" customHeight="1" outlineLevel="1" x14ac:dyDescent="0.15">
      <c r="J430" s="266"/>
      <c r="K430" s="267"/>
      <c r="L430" s="267"/>
      <c r="M430" s="268" t="s">
        <v>367</v>
      </c>
      <c r="N430" s="269" t="str">
        <f>IF(K419&amp;L419&lt;&gt;"",IF($D$30&lt;&gt;"",$D$30,""),"")</f>
        <v/>
      </c>
      <c r="O430" s="270"/>
      <c r="P430" s="271" t="str">
        <f t="shared" si="44"/>
        <v/>
      </c>
      <c r="Q430" s="272"/>
      <c r="R430" s="255">
        <f>IF(N430&lt;&gt;"",VLOOKUP(N430,$D$19:$E$34,2,FALSE),0)</f>
        <v>0</v>
      </c>
      <c r="S430" s="255">
        <f>IF(S419&gt;0,R430*S419,99999999)</f>
        <v>99999999</v>
      </c>
      <c r="T430" s="262" t="str">
        <f t="shared" si="47"/>
        <v/>
      </c>
      <c r="U430" s="262" t="str">
        <f t="shared" si="46"/>
        <v/>
      </c>
    </row>
    <row r="431" spans="10:21" ht="17.25" hidden="1" customHeight="1" outlineLevel="1" x14ac:dyDescent="0.15">
      <c r="J431" s="266"/>
      <c r="K431" s="267"/>
      <c r="L431" s="267"/>
      <c r="M431" s="268" t="s">
        <v>367</v>
      </c>
      <c r="N431" s="269" t="str">
        <f>IF(K419&amp;L419&lt;&gt;"",IF($D$31&lt;&gt;"",$D$31,""),"")</f>
        <v/>
      </c>
      <c r="O431" s="270"/>
      <c r="P431" s="271" t="str">
        <f t="shared" si="44"/>
        <v/>
      </c>
      <c r="Q431" s="272"/>
      <c r="R431" s="255">
        <f>IF(N431&lt;&gt;"",VLOOKUP(N431,$D$19:$E$34,2,FALSE),0)</f>
        <v>0</v>
      </c>
      <c r="S431" s="255">
        <f>IF(S419&gt;0,R431*S419,99999999)</f>
        <v>99999999</v>
      </c>
      <c r="T431" s="262" t="str">
        <f t="shared" si="47"/>
        <v/>
      </c>
      <c r="U431" s="262" t="str">
        <f t="shared" si="46"/>
        <v/>
      </c>
    </row>
    <row r="432" spans="10:21" ht="17.25" hidden="1" customHeight="1" outlineLevel="1" x14ac:dyDescent="0.15">
      <c r="J432" s="266"/>
      <c r="K432" s="267"/>
      <c r="L432" s="267"/>
      <c r="M432" s="268" t="s">
        <v>367</v>
      </c>
      <c r="N432" s="269" t="str">
        <f>IF(K419&amp;L419&lt;&gt;"",IF($D$32&lt;&gt;"",$D$32,""),"")</f>
        <v/>
      </c>
      <c r="O432" s="270"/>
      <c r="P432" s="271" t="str">
        <f t="shared" si="44"/>
        <v/>
      </c>
      <c r="Q432" s="272"/>
      <c r="R432" s="255">
        <f>IF(N432&lt;&gt;"",VLOOKUP(N432,$D$19:$E$34,2,FALSE),0)</f>
        <v>0</v>
      </c>
      <c r="S432" s="255">
        <f>IF(S419&gt;0,R432*S419,99999999)</f>
        <v>99999999</v>
      </c>
      <c r="T432" s="262" t="str">
        <f t="shared" si="47"/>
        <v/>
      </c>
      <c r="U432" s="262" t="str">
        <f t="shared" si="46"/>
        <v/>
      </c>
    </row>
    <row r="433" spans="10:21" ht="17.25" hidden="1" customHeight="1" outlineLevel="1" x14ac:dyDescent="0.15">
      <c r="J433" s="266"/>
      <c r="K433" s="267"/>
      <c r="L433" s="267"/>
      <c r="M433" s="268" t="s">
        <v>367</v>
      </c>
      <c r="N433" s="269" t="str">
        <f>IF(K419&amp;L419&lt;&gt;"",IF($D$33&lt;&gt;"",$D$33,""),"")</f>
        <v/>
      </c>
      <c r="O433" s="270"/>
      <c r="P433" s="271" t="str">
        <f t="shared" si="44"/>
        <v/>
      </c>
      <c r="Q433" s="272"/>
      <c r="R433" s="255">
        <f>IF(N433&lt;&gt;"",VLOOKUP(N433,$D$19:$E$34,2,FALSE),0)</f>
        <v>0</v>
      </c>
      <c r="S433" s="255">
        <f>IF(S419&gt;0,R433*S419,99999999)</f>
        <v>99999999</v>
      </c>
      <c r="T433" s="262" t="str">
        <f t="shared" si="47"/>
        <v/>
      </c>
      <c r="U433" s="262" t="str">
        <f t="shared" si="46"/>
        <v/>
      </c>
    </row>
    <row r="434" spans="10:21" ht="17.25" hidden="1" customHeight="1" outlineLevel="1" x14ac:dyDescent="0.15">
      <c r="J434" s="279"/>
      <c r="K434" s="280"/>
      <c r="L434" s="280"/>
      <c r="M434" s="281" t="s">
        <v>367</v>
      </c>
      <c r="N434" s="278" t="str">
        <f>IF(K419&amp;L419&lt;&gt;"",IF($D$34&lt;&gt;"",$D$34,""),"")</f>
        <v/>
      </c>
      <c r="O434" s="282"/>
      <c r="P434" s="271" t="str">
        <f t="shared" si="44"/>
        <v/>
      </c>
      <c r="Q434" s="283"/>
      <c r="R434" s="255">
        <f>IF(N434&lt;&gt;"",VLOOKUP(N434,$D$19:$E$34,2,FALSE),0)</f>
        <v>0</v>
      </c>
      <c r="S434" s="255">
        <f>IF(S419&gt;0,R434*S419,99999999)</f>
        <v>99999999</v>
      </c>
      <c r="T434" s="262" t="str">
        <f t="shared" si="47"/>
        <v/>
      </c>
      <c r="U434" s="262" t="str">
        <f t="shared" si="46"/>
        <v/>
      </c>
    </row>
    <row r="435" spans="10:21" ht="17.25" customHeight="1" collapsed="1" x14ac:dyDescent="0.15">
      <c r="J435" s="256">
        <v>27</v>
      </c>
      <c r="K435" s="257"/>
      <c r="L435" s="257"/>
      <c r="M435" s="258" t="s">
        <v>366</v>
      </c>
      <c r="N435" s="259" t="str">
        <f>IF(K435&amp;L435&lt;&gt;"",IF($D$19&lt;&gt;"",$D$19,""),"")</f>
        <v/>
      </c>
      <c r="O435" s="257"/>
      <c r="P435" s="260" t="str">
        <f t="shared" si="44"/>
        <v/>
      </c>
      <c r="Q435" s="261"/>
      <c r="R435" s="255">
        <f t="shared" ref="R435:R445" si="49">IF(N435&lt;&gt;"",VLOOKUP(N435,$D$19:$E$29,2,FALSE),0)</f>
        <v>0</v>
      </c>
      <c r="S435" s="255">
        <f>IF($E$19&gt;0,IF(MOD(O435,$E$19)=0,O435/$E$19,-1),-1)</f>
        <v>-1</v>
      </c>
      <c r="T435" s="262" t="str">
        <f>IF(N435&lt;&gt;"",IF(O435&lt;&gt;"",IF(S435&gt;0,"OK","数量が不足しています"),"数量が未入力です"),"")</f>
        <v/>
      </c>
      <c r="U435" s="262" t="str">
        <f t="shared" si="46"/>
        <v/>
      </c>
    </row>
    <row r="436" spans="10:21" ht="17.25" customHeight="1" x14ac:dyDescent="0.15">
      <c r="J436" s="266"/>
      <c r="K436" s="267"/>
      <c r="L436" s="267"/>
      <c r="M436" s="268" t="s">
        <v>367</v>
      </c>
      <c r="N436" s="269" t="str">
        <f>IF(K435&amp;L435&lt;&gt;"",IF($D$20&lt;&gt;"",$D$20,""),"")</f>
        <v/>
      </c>
      <c r="O436" s="270"/>
      <c r="P436" s="271" t="str">
        <f t="shared" si="44"/>
        <v/>
      </c>
      <c r="Q436" s="272"/>
      <c r="R436" s="255">
        <f t="shared" si="49"/>
        <v>0</v>
      </c>
      <c r="S436" s="255">
        <f>IF(S435&gt;0,R436*S435,99999999)</f>
        <v>99999999</v>
      </c>
      <c r="T436" s="262" t="str">
        <f t="shared" si="47"/>
        <v/>
      </c>
      <c r="U436" s="262" t="str">
        <f t="shared" si="46"/>
        <v/>
      </c>
    </row>
    <row r="437" spans="10:21" ht="17.25" customHeight="1" x14ac:dyDescent="0.15">
      <c r="J437" s="266"/>
      <c r="K437" s="267"/>
      <c r="L437" s="267"/>
      <c r="M437" s="268" t="s">
        <v>367</v>
      </c>
      <c r="N437" s="269" t="str">
        <f>IF(K435&amp;L435&lt;&gt;"",IF($D$21&lt;&gt;"",$D$21,""),"")</f>
        <v/>
      </c>
      <c r="O437" s="270"/>
      <c r="P437" s="271" t="str">
        <f t="shared" si="44"/>
        <v/>
      </c>
      <c r="Q437" s="272"/>
      <c r="R437" s="255">
        <f t="shared" si="49"/>
        <v>0</v>
      </c>
      <c r="S437" s="255">
        <f>IF(S435&gt;0,R437*S435,99999999)</f>
        <v>99999999</v>
      </c>
      <c r="T437" s="262" t="str">
        <f t="shared" si="47"/>
        <v/>
      </c>
      <c r="U437" s="262" t="str">
        <f t="shared" si="46"/>
        <v/>
      </c>
    </row>
    <row r="438" spans="10:21" ht="17.25" customHeight="1" x14ac:dyDescent="0.15">
      <c r="J438" s="266"/>
      <c r="K438" s="267"/>
      <c r="L438" s="267"/>
      <c r="M438" s="268" t="s">
        <v>367</v>
      </c>
      <c r="N438" s="269" t="str">
        <f>IF(K435&amp;L435&lt;&gt;"",IF($D$22&lt;&gt;"",$D$22,""),"")</f>
        <v/>
      </c>
      <c r="O438" s="270"/>
      <c r="P438" s="271" t="str">
        <f t="shared" si="44"/>
        <v/>
      </c>
      <c r="Q438" s="272"/>
      <c r="R438" s="255">
        <f t="shared" si="49"/>
        <v>0</v>
      </c>
      <c r="S438" s="255">
        <f>IF(S435&gt;0,R438*S435,99999999)</f>
        <v>99999999</v>
      </c>
      <c r="T438" s="262" t="str">
        <f t="shared" si="47"/>
        <v/>
      </c>
      <c r="U438" s="262" t="str">
        <f t="shared" si="46"/>
        <v/>
      </c>
    </row>
    <row r="439" spans="10:21" ht="17.25" customHeight="1" x14ac:dyDescent="0.15">
      <c r="J439" s="266"/>
      <c r="K439" s="267"/>
      <c r="L439" s="267"/>
      <c r="M439" s="268" t="s">
        <v>367</v>
      </c>
      <c r="N439" s="269" t="str">
        <f>IF(K435&amp;L435&lt;&gt;"",IF($D$23&lt;&gt;"",$D$23,""),"")</f>
        <v/>
      </c>
      <c r="O439" s="270"/>
      <c r="P439" s="271" t="str">
        <f t="shared" si="44"/>
        <v/>
      </c>
      <c r="Q439" s="272"/>
      <c r="R439" s="255">
        <f t="shared" si="49"/>
        <v>0</v>
      </c>
      <c r="S439" s="255">
        <f>IF(S435&gt;0,R439*S435,99999999)</f>
        <v>99999999</v>
      </c>
      <c r="T439" s="262" t="str">
        <f t="shared" si="47"/>
        <v/>
      </c>
      <c r="U439" s="262" t="str">
        <f t="shared" si="46"/>
        <v/>
      </c>
    </row>
    <row r="440" spans="10:21" ht="17.25" customHeight="1" x14ac:dyDescent="0.15">
      <c r="J440" s="266"/>
      <c r="K440" s="267"/>
      <c r="L440" s="267"/>
      <c r="M440" s="268" t="s">
        <v>367</v>
      </c>
      <c r="N440" s="269" t="str">
        <f>IF(K435&amp;L435&lt;&gt;"",IF($D$24&lt;&gt;"",$D$24,""),"")</f>
        <v/>
      </c>
      <c r="O440" s="270"/>
      <c r="P440" s="271" t="str">
        <f t="shared" si="44"/>
        <v/>
      </c>
      <c r="Q440" s="272"/>
      <c r="R440" s="255">
        <f t="shared" si="49"/>
        <v>0</v>
      </c>
      <c r="S440" s="255">
        <f>IF(S435&gt;0,R440*S435,99999999)</f>
        <v>99999999</v>
      </c>
      <c r="T440" s="262" t="str">
        <f t="shared" si="47"/>
        <v/>
      </c>
      <c r="U440" s="262" t="str">
        <f t="shared" si="46"/>
        <v/>
      </c>
    </row>
    <row r="441" spans="10:21" ht="17.25" customHeight="1" x14ac:dyDescent="0.15">
      <c r="J441" s="266"/>
      <c r="K441" s="267"/>
      <c r="L441" s="267"/>
      <c r="M441" s="268" t="s">
        <v>367</v>
      </c>
      <c r="N441" s="269" t="str">
        <f>IF(K435&amp;L435&lt;&gt;"",IF($D$25&lt;&gt;"",$D$25,""),"")</f>
        <v/>
      </c>
      <c r="O441" s="270"/>
      <c r="P441" s="271" t="str">
        <f t="shared" si="44"/>
        <v/>
      </c>
      <c r="Q441" s="272"/>
      <c r="R441" s="255">
        <f t="shared" si="49"/>
        <v>0</v>
      </c>
      <c r="S441" s="255">
        <f>IF(S435&gt;0,R441*S435,99999999)</f>
        <v>99999999</v>
      </c>
      <c r="T441" s="262" t="str">
        <f t="shared" si="47"/>
        <v/>
      </c>
      <c r="U441" s="262" t="str">
        <f t="shared" si="46"/>
        <v/>
      </c>
    </row>
    <row r="442" spans="10:21" ht="17.25" customHeight="1" x14ac:dyDescent="0.15">
      <c r="J442" s="266"/>
      <c r="K442" s="267"/>
      <c r="L442" s="267"/>
      <c r="M442" s="268" t="s">
        <v>367</v>
      </c>
      <c r="N442" s="269" t="str">
        <f>IF(K435&amp;L435&lt;&gt;"",IF($D$26&lt;&gt;"",$D$26,""),"")</f>
        <v/>
      </c>
      <c r="O442" s="270"/>
      <c r="P442" s="271" t="str">
        <f t="shared" si="44"/>
        <v/>
      </c>
      <c r="Q442" s="272"/>
      <c r="R442" s="255">
        <f t="shared" si="49"/>
        <v>0</v>
      </c>
      <c r="S442" s="255">
        <f>IF(S435&gt;0,R442*S435,99999999)</f>
        <v>99999999</v>
      </c>
      <c r="T442" s="262" t="str">
        <f t="shared" si="47"/>
        <v/>
      </c>
      <c r="U442" s="262" t="str">
        <f t="shared" si="46"/>
        <v/>
      </c>
    </row>
    <row r="443" spans="10:21" ht="17.25" customHeight="1" x14ac:dyDescent="0.15">
      <c r="J443" s="266"/>
      <c r="K443" s="267"/>
      <c r="L443" s="267"/>
      <c r="M443" s="268" t="s">
        <v>367</v>
      </c>
      <c r="N443" s="269" t="str">
        <f>IF(K435&amp;L435&lt;&gt;"",IF($D$27&lt;&gt;"",$D$27,""),"")</f>
        <v/>
      </c>
      <c r="O443" s="270"/>
      <c r="P443" s="271" t="str">
        <f t="shared" si="44"/>
        <v/>
      </c>
      <c r="Q443" s="272"/>
      <c r="R443" s="255">
        <f t="shared" si="49"/>
        <v>0</v>
      </c>
      <c r="S443" s="255">
        <f>IF(S435&gt;0,R443*S435,99999999)</f>
        <v>99999999</v>
      </c>
      <c r="T443" s="262" t="str">
        <f t="shared" si="47"/>
        <v/>
      </c>
      <c r="U443" s="262" t="str">
        <f t="shared" si="46"/>
        <v/>
      </c>
    </row>
    <row r="444" spans="10:21" ht="17.25" customHeight="1" x14ac:dyDescent="0.15">
      <c r="J444" s="266"/>
      <c r="K444" s="267"/>
      <c r="L444" s="267"/>
      <c r="M444" s="268" t="s">
        <v>367</v>
      </c>
      <c r="N444" s="269" t="str">
        <f>IF(K435&amp;L435&lt;&gt;"",IF($D$28&lt;&gt;"",$D$28,""),"")</f>
        <v/>
      </c>
      <c r="O444" s="270"/>
      <c r="P444" s="271" t="str">
        <f t="shared" si="44"/>
        <v/>
      </c>
      <c r="Q444" s="272"/>
      <c r="R444" s="255">
        <f t="shared" si="49"/>
        <v>0</v>
      </c>
      <c r="S444" s="255">
        <f>IF(S435&gt;0,R444*S435,99999999)</f>
        <v>99999999</v>
      </c>
      <c r="T444" s="262" t="str">
        <f t="shared" si="47"/>
        <v/>
      </c>
      <c r="U444" s="262" t="str">
        <f t="shared" si="46"/>
        <v/>
      </c>
    </row>
    <row r="445" spans="10:21" ht="17.25" customHeight="1" x14ac:dyDescent="0.15">
      <c r="J445" s="266"/>
      <c r="K445" s="267"/>
      <c r="L445" s="267"/>
      <c r="M445" s="268" t="s">
        <v>367</v>
      </c>
      <c r="N445" s="269" t="str">
        <f>IF(K435&amp;L435&lt;&gt;"",IF($D$29&lt;&gt;"",$D$29,""),"")</f>
        <v/>
      </c>
      <c r="O445" s="270"/>
      <c r="P445" s="271" t="str">
        <f t="shared" si="44"/>
        <v/>
      </c>
      <c r="Q445" s="272"/>
      <c r="R445" s="255">
        <f t="shared" si="49"/>
        <v>0</v>
      </c>
      <c r="S445" s="255">
        <f>IF(S435&gt;0,R445*S435,99999999)</f>
        <v>99999999</v>
      </c>
      <c r="T445" s="262" t="str">
        <f t="shared" si="47"/>
        <v/>
      </c>
      <c r="U445" s="262" t="str">
        <f t="shared" si="46"/>
        <v/>
      </c>
    </row>
    <row r="446" spans="10:21" ht="17.25" hidden="1" customHeight="1" outlineLevel="1" x14ac:dyDescent="0.15">
      <c r="J446" s="266"/>
      <c r="K446" s="267"/>
      <c r="L446" s="267"/>
      <c r="M446" s="268" t="s">
        <v>367</v>
      </c>
      <c r="N446" s="269" t="str">
        <f>IF(K435&amp;L435&lt;&gt;"",IF($D$30&lt;&gt;"",$D$30,""),"")</f>
        <v/>
      </c>
      <c r="O446" s="270"/>
      <c r="P446" s="271" t="str">
        <f t="shared" si="44"/>
        <v/>
      </c>
      <c r="Q446" s="272"/>
      <c r="R446" s="255">
        <f>IF(N446&lt;&gt;"",VLOOKUP(N446,$D$19:$E$34,2,FALSE),0)</f>
        <v>0</v>
      </c>
      <c r="S446" s="255">
        <f>IF(S435&gt;0,R446*S435,99999999)</f>
        <v>99999999</v>
      </c>
      <c r="T446" s="262" t="str">
        <f t="shared" si="47"/>
        <v/>
      </c>
      <c r="U446" s="262" t="str">
        <f t="shared" si="46"/>
        <v/>
      </c>
    </row>
    <row r="447" spans="10:21" ht="17.25" hidden="1" customHeight="1" outlineLevel="1" x14ac:dyDescent="0.15">
      <c r="J447" s="266"/>
      <c r="K447" s="267"/>
      <c r="L447" s="267"/>
      <c r="M447" s="268" t="s">
        <v>367</v>
      </c>
      <c r="N447" s="269" t="str">
        <f>IF(K435&amp;L435&lt;&gt;"",IF($D$31&lt;&gt;"",$D$31,""),"")</f>
        <v/>
      </c>
      <c r="O447" s="270"/>
      <c r="P447" s="271" t="str">
        <f t="shared" si="44"/>
        <v/>
      </c>
      <c r="Q447" s="272"/>
      <c r="R447" s="255">
        <f>IF(N447&lt;&gt;"",VLOOKUP(N447,$D$19:$E$34,2,FALSE),0)</f>
        <v>0</v>
      </c>
      <c r="S447" s="255">
        <f>IF(S435&gt;0,R447*S435,99999999)</f>
        <v>99999999</v>
      </c>
      <c r="T447" s="262" t="str">
        <f t="shared" si="47"/>
        <v/>
      </c>
      <c r="U447" s="262" t="str">
        <f t="shared" si="46"/>
        <v/>
      </c>
    </row>
    <row r="448" spans="10:21" ht="17.25" hidden="1" customHeight="1" outlineLevel="1" x14ac:dyDescent="0.15">
      <c r="J448" s="266"/>
      <c r="K448" s="267"/>
      <c r="L448" s="267"/>
      <c r="M448" s="268" t="s">
        <v>367</v>
      </c>
      <c r="N448" s="269" t="str">
        <f>IF(K435&amp;L435&lt;&gt;"",IF($D$32&lt;&gt;"",$D$32,""),"")</f>
        <v/>
      </c>
      <c r="O448" s="270"/>
      <c r="P448" s="271" t="str">
        <f t="shared" si="44"/>
        <v/>
      </c>
      <c r="Q448" s="272"/>
      <c r="R448" s="255">
        <f>IF(N448&lt;&gt;"",VLOOKUP(N448,$D$19:$E$34,2,FALSE),0)</f>
        <v>0</v>
      </c>
      <c r="S448" s="255">
        <f>IF(S435&gt;0,R448*S435,99999999)</f>
        <v>99999999</v>
      </c>
      <c r="T448" s="262" t="str">
        <f t="shared" si="47"/>
        <v/>
      </c>
      <c r="U448" s="262" t="str">
        <f t="shared" si="46"/>
        <v/>
      </c>
    </row>
    <row r="449" spans="10:21" ht="17.25" hidden="1" customHeight="1" outlineLevel="1" x14ac:dyDescent="0.15">
      <c r="J449" s="266"/>
      <c r="K449" s="267"/>
      <c r="L449" s="267"/>
      <c r="M449" s="268" t="s">
        <v>367</v>
      </c>
      <c r="N449" s="269" t="str">
        <f>IF(K435&amp;L435&lt;&gt;"",IF($D$33&lt;&gt;"",$D$33,""),"")</f>
        <v/>
      </c>
      <c r="O449" s="270"/>
      <c r="P449" s="271" t="str">
        <f t="shared" si="44"/>
        <v/>
      </c>
      <c r="Q449" s="272"/>
      <c r="R449" s="255">
        <f>IF(N449&lt;&gt;"",VLOOKUP(N449,$D$19:$E$34,2,FALSE),0)</f>
        <v>0</v>
      </c>
      <c r="S449" s="255">
        <f>IF(S435&gt;0,R449*S435,99999999)</f>
        <v>99999999</v>
      </c>
      <c r="T449" s="262" t="str">
        <f t="shared" si="47"/>
        <v/>
      </c>
      <c r="U449" s="262" t="str">
        <f t="shared" si="46"/>
        <v/>
      </c>
    </row>
    <row r="450" spans="10:21" ht="17.25" hidden="1" customHeight="1" outlineLevel="1" x14ac:dyDescent="0.15">
      <c r="J450" s="279"/>
      <c r="K450" s="280"/>
      <c r="L450" s="280"/>
      <c r="M450" s="281" t="s">
        <v>367</v>
      </c>
      <c r="N450" s="278" t="str">
        <f>IF(K435&amp;L435&lt;&gt;"",IF($D$34&lt;&gt;"",$D$34,""),"")</f>
        <v/>
      </c>
      <c r="O450" s="282"/>
      <c r="P450" s="271" t="str">
        <f t="shared" si="44"/>
        <v/>
      </c>
      <c r="Q450" s="283"/>
      <c r="R450" s="255">
        <f>IF(N450&lt;&gt;"",VLOOKUP(N450,$D$19:$E$34,2,FALSE),0)</f>
        <v>0</v>
      </c>
      <c r="S450" s="255">
        <f>IF(S435&gt;0,R450*S435,99999999)</f>
        <v>99999999</v>
      </c>
      <c r="T450" s="262" t="str">
        <f t="shared" si="47"/>
        <v/>
      </c>
      <c r="U450" s="262" t="str">
        <f t="shared" si="46"/>
        <v/>
      </c>
    </row>
    <row r="451" spans="10:21" ht="17.25" customHeight="1" collapsed="1" x14ac:dyDescent="0.15">
      <c r="J451" s="256">
        <v>28</v>
      </c>
      <c r="K451" s="257"/>
      <c r="L451" s="257"/>
      <c r="M451" s="258" t="s">
        <v>366</v>
      </c>
      <c r="N451" s="259" t="str">
        <f>IF(K451&amp;L451&lt;&gt;"",IF($D$19&lt;&gt;"",$D$19,""),"")</f>
        <v/>
      </c>
      <c r="O451" s="257"/>
      <c r="P451" s="260" t="str">
        <f t="shared" si="44"/>
        <v/>
      </c>
      <c r="Q451" s="261"/>
      <c r="R451" s="255">
        <f t="shared" ref="R451:R461" si="50">IF(N451&lt;&gt;"",VLOOKUP(N451,$D$19:$E$29,2,FALSE),0)</f>
        <v>0</v>
      </c>
      <c r="S451" s="255">
        <f>IF($E$19&gt;0,IF(MOD(O451,$E$19)=0,O451/$E$19,-1),-1)</f>
        <v>-1</v>
      </c>
      <c r="T451" s="262" t="str">
        <f>IF(N451&lt;&gt;"",IF(O451&lt;&gt;"",IF(S451&gt;0,"OK","数量が不足しています"),"数量が未入力です"),"")</f>
        <v/>
      </c>
      <c r="U451" s="262" t="str">
        <f t="shared" si="46"/>
        <v/>
      </c>
    </row>
    <row r="452" spans="10:21" ht="17.25" customHeight="1" x14ac:dyDescent="0.15">
      <c r="J452" s="266"/>
      <c r="K452" s="267"/>
      <c r="L452" s="267"/>
      <c r="M452" s="268" t="s">
        <v>367</v>
      </c>
      <c r="N452" s="269" t="str">
        <f>IF(K451&amp;L451&lt;&gt;"",IF($D$20&lt;&gt;"",$D$20,""),"")</f>
        <v/>
      </c>
      <c r="O452" s="270"/>
      <c r="P452" s="271" t="str">
        <f t="shared" si="44"/>
        <v/>
      </c>
      <c r="Q452" s="272"/>
      <c r="R452" s="255">
        <f t="shared" si="50"/>
        <v>0</v>
      </c>
      <c r="S452" s="255">
        <f>IF(S451&gt;0,R452*S451,99999999)</f>
        <v>99999999</v>
      </c>
      <c r="T452" s="262" t="str">
        <f t="shared" si="47"/>
        <v/>
      </c>
      <c r="U452" s="262" t="str">
        <f t="shared" si="46"/>
        <v/>
      </c>
    </row>
    <row r="453" spans="10:21" ht="17.25" customHeight="1" x14ac:dyDescent="0.15">
      <c r="J453" s="266"/>
      <c r="K453" s="267"/>
      <c r="L453" s="267"/>
      <c r="M453" s="268" t="s">
        <v>367</v>
      </c>
      <c r="N453" s="269" t="str">
        <f>IF(K451&amp;L451&lt;&gt;"",IF($D$21&lt;&gt;"",$D$21,""),"")</f>
        <v/>
      </c>
      <c r="O453" s="270"/>
      <c r="P453" s="271" t="str">
        <f t="shared" si="44"/>
        <v/>
      </c>
      <c r="Q453" s="272"/>
      <c r="R453" s="255">
        <f t="shared" si="50"/>
        <v>0</v>
      </c>
      <c r="S453" s="255">
        <f>IF(S451&gt;0,R453*S451,99999999)</f>
        <v>99999999</v>
      </c>
      <c r="T453" s="262" t="str">
        <f t="shared" si="47"/>
        <v/>
      </c>
      <c r="U453" s="262" t="str">
        <f t="shared" si="46"/>
        <v/>
      </c>
    </row>
    <row r="454" spans="10:21" ht="17.25" customHeight="1" x14ac:dyDescent="0.15">
      <c r="J454" s="266"/>
      <c r="K454" s="267"/>
      <c r="L454" s="267"/>
      <c r="M454" s="268" t="s">
        <v>367</v>
      </c>
      <c r="N454" s="269" t="str">
        <f>IF(K451&amp;L451&lt;&gt;"",IF($D$22&lt;&gt;"",$D$22,""),"")</f>
        <v/>
      </c>
      <c r="O454" s="270"/>
      <c r="P454" s="271" t="str">
        <f t="shared" si="44"/>
        <v/>
      </c>
      <c r="Q454" s="272"/>
      <c r="R454" s="255">
        <f t="shared" si="50"/>
        <v>0</v>
      </c>
      <c r="S454" s="255">
        <f>IF(S451&gt;0,R454*S451,99999999)</f>
        <v>99999999</v>
      </c>
      <c r="T454" s="262" t="str">
        <f t="shared" si="47"/>
        <v/>
      </c>
      <c r="U454" s="262" t="str">
        <f t="shared" si="46"/>
        <v/>
      </c>
    </row>
    <row r="455" spans="10:21" ht="17.25" customHeight="1" x14ac:dyDescent="0.15">
      <c r="J455" s="266"/>
      <c r="K455" s="267"/>
      <c r="L455" s="267"/>
      <c r="M455" s="268" t="s">
        <v>367</v>
      </c>
      <c r="N455" s="269" t="str">
        <f>IF(K451&amp;L451&lt;&gt;"",IF($D$23&lt;&gt;"",$D$23,""),"")</f>
        <v/>
      </c>
      <c r="O455" s="270"/>
      <c r="P455" s="271" t="str">
        <f t="shared" si="44"/>
        <v/>
      </c>
      <c r="Q455" s="272"/>
      <c r="R455" s="255">
        <f t="shared" si="50"/>
        <v>0</v>
      </c>
      <c r="S455" s="255">
        <f>IF(S451&gt;0,R455*S451,99999999)</f>
        <v>99999999</v>
      </c>
      <c r="T455" s="262" t="str">
        <f t="shared" si="47"/>
        <v/>
      </c>
      <c r="U455" s="262" t="str">
        <f t="shared" si="46"/>
        <v/>
      </c>
    </row>
    <row r="456" spans="10:21" ht="17.25" customHeight="1" x14ac:dyDescent="0.15">
      <c r="J456" s="266"/>
      <c r="K456" s="267"/>
      <c r="L456" s="267"/>
      <c r="M456" s="268" t="s">
        <v>367</v>
      </c>
      <c r="N456" s="269" t="str">
        <f>IF(K451&amp;L451&lt;&gt;"",IF($D$24&lt;&gt;"",$D$24,""),"")</f>
        <v/>
      </c>
      <c r="O456" s="270"/>
      <c r="P456" s="271" t="str">
        <f t="shared" si="44"/>
        <v/>
      </c>
      <c r="Q456" s="272"/>
      <c r="R456" s="255">
        <f t="shared" si="50"/>
        <v>0</v>
      </c>
      <c r="S456" s="255">
        <f>IF(S451&gt;0,R456*S451,99999999)</f>
        <v>99999999</v>
      </c>
      <c r="T456" s="262" t="str">
        <f t="shared" si="47"/>
        <v/>
      </c>
      <c r="U456" s="262" t="str">
        <f t="shared" si="46"/>
        <v/>
      </c>
    </row>
    <row r="457" spans="10:21" ht="17.25" customHeight="1" x14ac:dyDescent="0.15">
      <c r="J457" s="266"/>
      <c r="K457" s="267"/>
      <c r="L457" s="267"/>
      <c r="M457" s="268" t="s">
        <v>367</v>
      </c>
      <c r="N457" s="269" t="str">
        <f>IF(K451&amp;L451&lt;&gt;"",IF($D$25&lt;&gt;"",$D$25,""),"")</f>
        <v/>
      </c>
      <c r="O457" s="270"/>
      <c r="P457" s="271" t="str">
        <f t="shared" si="44"/>
        <v/>
      </c>
      <c r="Q457" s="272"/>
      <c r="R457" s="255">
        <f t="shared" si="50"/>
        <v>0</v>
      </c>
      <c r="S457" s="255">
        <f>IF(S451&gt;0,R457*S451,99999999)</f>
        <v>99999999</v>
      </c>
      <c r="T457" s="262" t="str">
        <f t="shared" si="47"/>
        <v/>
      </c>
      <c r="U457" s="262" t="str">
        <f t="shared" si="46"/>
        <v/>
      </c>
    </row>
    <row r="458" spans="10:21" ht="17.25" customHeight="1" x14ac:dyDescent="0.15">
      <c r="J458" s="266"/>
      <c r="K458" s="267"/>
      <c r="L458" s="267"/>
      <c r="M458" s="268" t="s">
        <v>367</v>
      </c>
      <c r="N458" s="269" t="str">
        <f>IF(K451&amp;L451&lt;&gt;"",IF($D$26&lt;&gt;"",$D$26,""),"")</f>
        <v/>
      </c>
      <c r="O458" s="270"/>
      <c r="P458" s="271" t="str">
        <f t="shared" si="44"/>
        <v/>
      </c>
      <c r="Q458" s="272"/>
      <c r="R458" s="255">
        <f t="shared" si="50"/>
        <v>0</v>
      </c>
      <c r="S458" s="255">
        <f>IF(S451&gt;0,R458*S451,99999999)</f>
        <v>99999999</v>
      </c>
      <c r="T458" s="262" t="str">
        <f t="shared" si="47"/>
        <v/>
      </c>
      <c r="U458" s="262" t="str">
        <f t="shared" si="46"/>
        <v/>
      </c>
    </row>
    <row r="459" spans="10:21" ht="17.25" customHeight="1" x14ac:dyDescent="0.15">
      <c r="J459" s="266"/>
      <c r="K459" s="267"/>
      <c r="L459" s="267"/>
      <c r="M459" s="268" t="s">
        <v>367</v>
      </c>
      <c r="N459" s="269" t="str">
        <f>IF(K451&amp;L451&lt;&gt;"",IF($D$27&lt;&gt;"",$D$27,""),"")</f>
        <v/>
      </c>
      <c r="O459" s="270"/>
      <c r="P459" s="271" t="str">
        <f t="shared" si="44"/>
        <v/>
      </c>
      <c r="Q459" s="272"/>
      <c r="R459" s="255">
        <f t="shared" si="50"/>
        <v>0</v>
      </c>
      <c r="S459" s="255">
        <f>IF(S451&gt;0,R459*S451,99999999)</f>
        <v>99999999</v>
      </c>
      <c r="T459" s="262" t="str">
        <f t="shared" si="47"/>
        <v/>
      </c>
      <c r="U459" s="262" t="str">
        <f t="shared" si="46"/>
        <v/>
      </c>
    </row>
    <row r="460" spans="10:21" ht="17.25" customHeight="1" x14ac:dyDescent="0.15">
      <c r="J460" s="266"/>
      <c r="K460" s="267"/>
      <c r="L460" s="267"/>
      <c r="M460" s="268" t="s">
        <v>367</v>
      </c>
      <c r="N460" s="269" t="str">
        <f>IF(K451&amp;L451&lt;&gt;"",IF($D$28&lt;&gt;"",$D$28,""),"")</f>
        <v/>
      </c>
      <c r="O460" s="270"/>
      <c r="P460" s="271" t="str">
        <f t="shared" si="44"/>
        <v/>
      </c>
      <c r="Q460" s="272"/>
      <c r="R460" s="255">
        <f t="shared" si="50"/>
        <v>0</v>
      </c>
      <c r="S460" s="255">
        <f>IF(S451&gt;0,R460*S451,99999999)</f>
        <v>99999999</v>
      </c>
      <c r="T460" s="262" t="str">
        <f t="shared" si="47"/>
        <v/>
      </c>
      <c r="U460" s="262" t="str">
        <f t="shared" si="46"/>
        <v/>
      </c>
    </row>
    <row r="461" spans="10:21" ht="17.25" customHeight="1" x14ac:dyDescent="0.15">
      <c r="J461" s="266"/>
      <c r="K461" s="267"/>
      <c r="L461" s="267"/>
      <c r="M461" s="268" t="s">
        <v>367</v>
      </c>
      <c r="N461" s="269" t="str">
        <f>IF(K451&amp;L451&lt;&gt;"",IF($D$29&lt;&gt;"",$D$29,""),"")</f>
        <v/>
      </c>
      <c r="O461" s="270"/>
      <c r="P461" s="271" t="str">
        <f t="shared" si="44"/>
        <v/>
      </c>
      <c r="Q461" s="272"/>
      <c r="R461" s="255">
        <f t="shared" si="50"/>
        <v>0</v>
      </c>
      <c r="S461" s="255">
        <f>IF(S451&gt;0,R461*S451,99999999)</f>
        <v>99999999</v>
      </c>
      <c r="T461" s="262" t="str">
        <f t="shared" si="47"/>
        <v/>
      </c>
      <c r="U461" s="262" t="str">
        <f t="shared" si="46"/>
        <v/>
      </c>
    </row>
    <row r="462" spans="10:21" ht="17.25" hidden="1" customHeight="1" outlineLevel="1" x14ac:dyDescent="0.15">
      <c r="J462" s="266"/>
      <c r="K462" s="267"/>
      <c r="L462" s="267"/>
      <c r="M462" s="268" t="s">
        <v>367</v>
      </c>
      <c r="N462" s="269" t="str">
        <f>IF(K451&amp;L451&lt;&gt;"",IF($D$30&lt;&gt;"",$D$30,""),"")</f>
        <v/>
      </c>
      <c r="O462" s="270"/>
      <c r="P462" s="271" t="str">
        <f t="shared" si="44"/>
        <v/>
      </c>
      <c r="Q462" s="272"/>
      <c r="R462" s="255">
        <f>IF(N462&lt;&gt;"",VLOOKUP(N462,$D$19:$E$34,2,FALSE),0)</f>
        <v>0</v>
      </c>
      <c r="S462" s="255">
        <f>IF(S451&gt;0,R462*S451,99999999)</f>
        <v>99999999</v>
      </c>
      <c r="T462" s="262" t="str">
        <f t="shared" si="47"/>
        <v/>
      </c>
      <c r="U462" s="262" t="str">
        <f t="shared" si="46"/>
        <v/>
      </c>
    </row>
    <row r="463" spans="10:21" ht="17.25" hidden="1" customHeight="1" outlineLevel="1" x14ac:dyDescent="0.15">
      <c r="J463" s="266"/>
      <c r="K463" s="267"/>
      <c r="L463" s="267"/>
      <c r="M463" s="268" t="s">
        <v>367</v>
      </c>
      <c r="N463" s="269" t="str">
        <f>IF(K451&amp;L451&lt;&gt;"",IF($D$31&lt;&gt;"",$D$31,""),"")</f>
        <v/>
      </c>
      <c r="O463" s="270"/>
      <c r="P463" s="271" t="str">
        <f t="shared" si="44"/>
        <v/>
      </c>
      <c r="Q463" s="272"/>
      <c r="R463" s="255">
        <f>IF(N463&lt;&gt;"",VLOOKUP(N463,$D$19:$E$34,2,FALSE),0)</f>
        <v>0</v>
      </c>
      <c r="S463" s="255">
        <f>IF(S451&gt;0,R463*S451,99999999)</f>
        <v>99999999</v>
      </c>
      <c r="T463" s="262" t="str">
        <f t="shared" si="47"/>
        <v/>
      </c>
      <c r="U463" s="262" t="str">
        <f t="shared" si="46"/>
        <v/>
      </c>
    </row>
    <row r="464" spans="10:21" ht="17.25" hidden="1" customHeight="1" outlineLevel="1" x14ac:dyDescent="0.15">
      <c r="J464" s="266"/>
      <c r="K464" s="267"/>
      <c r="L464" s="267"/>
      <c r="M464" s="268" t="s">
        <v>367</v>
      </c>
      <c r="N464" s="269" t="str">
        <f>IF(K451&amp;L451&lt;&gt;"",IF($D$32&lt;&gt;"",$D$32,""),"")</f>
        <v/>
      </c>
      <c r="O464" s="270"/>
      <c r="P464" s="271" t="str">
        <f t="shared" si="44"/>
        <v/>
      </c>
      <c r="Q464" s="272"/>
      <c r="R464" s="255">
        <f>IF(N464&lt;&gt;"",VLOOKUP(N464,$D$19:$E$34,2,FALSE),0)</f>
        <v>0</v>
      </c>
      <c r="S464" s="255">
        <f>IF(S451&gt;0,R464*S451,99999999)</f>
        <v>99999999</v>
      </c>
      <c r="T464" s="262" t="str">
        <f t="shared" si="47"/>
        <v/>
      </c>
      <c r="U464" s="262" t="str">
        <f t="shared" si="46"/>
        <v/>
      </c>
    </row>
    <row r="465" spans="10:21" ht="17.25" hidden="1" customHeight="1" outlineLevel="1" x14ac:dyDescent="0.15">
      <c r="J465" s="266"/>
      <c r="K465" s="267"/>
      <c r="L465" s="267"/>
      <c r="M465" s="268" t="s">
        <v>367</v>
      </c>
      <c r="N465" s="269" t="str">
        <f>IF(K451&amp;L451&lt;&gt;"",IF($D$33&lt;&gt;"",$D$33,""),"")</f>
        <v/>
      </c>
      <c r="O465" s="270"/>
      <c r="P465" s="271" t="str">
        <f t="shared" si="44"/>
        <v/>
      </c>
      <c r="Q465" s="272"/>
      <c r="R465" s="255">
        <f>IF(N465&lt;&gt;"",VLOOKUP(N465,$D$19:$E$34,2,FALSE),0)</f>
        <v>0</v>
      </c>
      <c r="S465" s="255">
        <f>IF(S451&gt;0,R465*S451,99999999)</f>
        <v>99999999</v>
      </c>
      <c r="T465" s="262" t="str">
        <f t="shared" si="47"/>
        <v/>
      </c>
      <c r="U465" s="262" t="str">
        <f t="shared" si="46"/>
        <v/>
      </c>
    </row>
    <row r="466" spans="10:21" ht="17.25" hidden="1" customHeight="1" outlineLevel="1" x14ac:dyDescent="0.15">
      <c r="J466" s="279"/>
      <c r="K466" s="280"/>
      <c r="L466" s="280"/>
      <c r="M466" s="281" t="s">
        <v>367</v>
      </c>
      <c r="N466" s="278" t="str">
        <f>IF(K451&amp;L451&lt;&gt;"",IF($D$34&lt;&gt;"",$D$34,""),"")</f>
        <v/>
      </c>
      <c r="O466" s="282"/>
      <c r="P466" s="271" t="str">
        <f t="shared" si="44"/>
        <v/>
      </c>
      <c r="Q466" s="283"/>
      <c r="R466" s="255">
        <f>IF(N466&lt;&gt;"",VLOOKUP(N466,$D$19:$E$34,2,FALSE),0)</f>
        <v>0</v>
      </c>
      <c r="S466" s="255">
        <f>IF(S451&gt;0,R466*S451,99999999)</f>
        <v>99999999</v>
      </c>
      <c r="T466" s="262" t="str">
        <f t="shared" si="47"/>
        <v/>
      </c>
      <c r="U466" s="262" t="str">
        <f t="shared" si="46"/>
        <v/>
      </c>
    </row>
    <row r="467" spans="10:21" ht="17.25" customHeight="1" collapsed="1" x14ac:dyDescent="0.15">
      <c r="J467" s="256">
        <v>29</v>
      </c>
      <c r="K467" s="257"/>
      <c r="L467" s="257"/>
      <c r="M467" s="258" t="s">
        <v>366</v>
      </c>
      <c r="N467" s="259" t="str">
        <f>IF(K467&amp;L467&lt;&gt;"",IF($D$19&lt;&gt;"",$D$19,""),"")</f>
        <v/>
      </c>
      <c r="O467" s="257"/>
      <c r="P467" s="260" t="str">
        <f t="shared" ref="P467:P498" si="51">IF(ISERROR(ROUND(Q467/O467,0)),"",ROUND(Q467/O467,0))</f>
        <v/>
      </c>
      <c r="Q467" s="261"/>
      <c r="R467" s="255">
        <f t="shared" ref="R467:R477" si="52">IF(N467&lt;&gt;"",VLOOKUP(N467,$D$19:$E$29,2,FALSE),0)</f>
        <v>0</v>
      </c>
      <c r="S467" s="255">
        <f>IF($E$19&gt;0,IF(MOD(O467,$E$19)=0,O467/$E$19,-1),-1)</f>
        <v>-1</v>
      </c>
      <c r="T467" s="262" t="str">
        <f>IF(N467&lt;&gt;"",IF(O467&lt;&gt;"",IF(S467&gt;0,"OK","数量が不足しています"),"数量が未入力です"),"")</f>
        <v/>
      </c>
      <c r="U467" s="262" t="str">
        <f t="shared" ref="U467:U493" si="53">IF(O467&lt;&gt;"",IF(Q467&lt;&gt;"","OK","未入力です"),"")</f>
        <v/>
      </c>
    </row>
    <row r="468" spans="10:21" ht="17.25" customHeight="1" x14ac:dyDescent="0.15">
      <c r="J468" s="266"/>
      <c r="K468" s="267"/>
      <c r="L468" s="267"/>
      <c r="M468" s="268" t="s">
        <v>367</v>
      </c>
      <c r="N468" s="269" t="str">
        <f>IF(K467&amp;L467&lt;&gt;"",IF($D$20&lt;&gt;"",$D$20,""),"")</f>
        <v/>
      </c>
      <c r="O468" s="270"/>
      <c r="P468" s="271" t="str">
        <f t="shared" si="51"/>
        <v/>
      </c>
      <c r="Q468" s="272"/>
      <c r="R468" s="255">
        <f t="shared" si="52"/>
        <v>0</v>
      </c>
      <c r="S468" s="255">
        <f>IF(S467&gt;0,R468*S467,99999999)</f>
        <v>99999999</v>
      </c>
      <c r="T468" s="262" t="str">
        <f t="shared" ref="T468:T493" si="54">IF(N468&lt;&gt;"",IF(O468&lt;&gt;"",IF(O468&gt;=S468,"OK","数量が不足しています"),"数量が未入力です"),"")</f>
        <v/>
      </c>
      <c r="U468" s="262" t="str">
        <f t="shared" si="53"/>
        <v/>
      </c>
    </row>
    <row r="469" spans="10:21" ht="17.25" customHeight="1" x14ac:dyDescent="0.15">
      <c r="J469" s="266"/>
      <c r="K469" s="267"/>
      <c r="L469" s="267"/>
      <c r="M469" s="268" t="s">
        <v>367</v>
      </c>
      <c r="N469" s="269" t="str">
        <f>IF(K467&amp;L467&lt;&gt;"",IF($D$21&lt;&gt;"",$D$21,""),"")</f>
        <v/>
      </c>
      <c r="O469" s="270"/>
      <c r="P469" s="271" t="str">
        <f t="shared" si="51"/>
        <v/>
      </c>
      <c r="Q469" s="272"/>
      <c r="R469" s="255">
        <f t="shared" si="52"/>
        <v>0</v>
      </c>
      <c r="S469" s="255">
        <f>IF(S467&gt;0,R469*S467,99999999)</f>
        <v>99999999</v>
      </c>
      <c r="T469" s="262" t="str">
        <f t="shared" si="54"/>
        <v/>
      </c>
      <c r="U469" s="262" t="str">
        <f t="shared" si="53"/>
        <v/>
      </c>
    </row>
    <row r="470" spans="10:21" ht="17.25" customHeight="1" x14ac:dyDescent="0.15">
      <c r="J470" s="266"/>
      <c r="K470" s="267"/>
      <c r="L470" s="267"/>
      <c r="M470" s="268" t="s">
        <v>367</v>
      </c>
      <c r="N470" s="269" t="str">
        <f>IF(K467&amp;L467&lt;&gt;"",IF($D$22&lt;&gt;"",$D$22,""),"")</f>
        <v/>
      </c>
      <c r="O470" s="270"/>
      <c r="P470" s="271" t="str">
        <f t="shared" si="51"/>
        <v/>
      </c>
      <c r="Q470" s="272"/>
      <c r="R470" s="255">
        <f t="shared" si="52"/>
        <v>0</v>
      </c>
      <c r="S470" s="255">
        <f>IF(S467&gt;0,R470*S467,99999999)</f>
        <v>99999999</v>
      </c>
      <c r="T470" s="262" t="str">
        <f t="shared" si="54"/>
        <v/>
      </c>
      <c r="U470" s="262" t="str">
        <f t="shared" si="53"/>
        <v/>
      </c>
    </row>
    <row r="471" spans="10:21" ht="17.25" customHeight="1" x14ac:dyDescent="0.15">
      <c r="J471" s="266"/>
      <c r="K471" s="267"/>
      <c r="L471" s="267"/>
      <c r="M471" s="268" t="s">
        <v>367</v>
      </c>
      <c r="N471" s="269" t="str">
        <f>IF(K467&amp;L467&lt;&gt;"",IF($D$23&lt;&gt;"",$D$23,""),"")</f>
        <v/>
      </c>
      <c r="O471" s="270"/>
      <c r="P471" s="271" t="str">
        <f t="shared" si="51"/>
        <v/>
      </c>
      <c r="Q471" s="272"/>
      <c r="R471" s="255">
        <f t="shared" si="52"/>
        <v>0</v>
      </c>
      <c r="S471" s="255">
        <f>IF(S467&gt;0,R471*S467,99999999)</f>
        <v>99999999</v>
      </c>
      <c r="T471" s="262" t="str">
        <f t="shared" si="54"/>
        <v/>
      </c>
      <c r="U471" s="262" t="str">
        <f t="shared" si="53"/>
        <v/>
      </c>
    </row>
    <row r="472" spans="10:21" ht="17.25" customHeight="1" x14ac:dyDescent="0.15">
      <c r="J472" s="266"/>
      <c r="K472" s="267"/>
      <c r="L472" s="267"/>
      <c r="M472" s="268" t="s">
        <v>367</v>
      </c>
      <c r="N472" s="269" t="str">
        <f>IF(K467&amp;L467&lt;&gt;"",IF($D$24&lt;&gt;"",$D$24,""),"")</f>
        <v/>
      </c>
      <c r="O472" s="270"/>
      <c r="P472" s="271" t="str">
        <f t="shared" si="51"/>
        <v/>
      </c>
      <c r="Q472" s="272"/>
      <c r="R472" s="255">
        <f t="shared" si="52"/>
        <v>0</v>
      </c>
      <c r="S472" s="255">
        <f>IF(S467&gt;0,R472*S467,99999999)</f>
        <v>99999999</v>
      </c>
      <c r="T472" s="262" t="str">
        <f t="shared" si="54"/>
        <v/>
      </c>
      <c r="U472" s="262" t="str">
        <f t="shared" si="53"/>
        <v/>
      </c>
    </row>
    <row r="473" spans="10:21" ht="17.25" customHeight="1" x14ac:dyDescent="0.15">
      <c r="J473" s="266"/>
      <c r="K473" s="267"/>
      <c r="L473" s="267"/>
      <c r="M473" s="268" t="s">
        <v>367</v>
      </c>
      <c r="N473" s="269" t="str">
        <f>IF(K467&amp;L467&lt;&gt;"",IF($D$25&lt;&gt;"",$D$25,""),"")</f>
        <v/>
      </c>
      <c r="O473" s="270"/>
      <c r="P473" s="271" t="str">
        <f t="shared" si="51"/>
        <v/>
      </c>
      <c r="Q473" s="272"/>
      <c r="R473" s="255">
        <f t="shared" si="52"/>
        <v>0</v>
      </c>
      <c r="S473" s="255">
        <f>IF(S467&gt;0,R473*S467,99999999)</f>
        <v>99999999</v>
      </c>
      <c r="T473" s="262" t="str">
        <f t="shared" si="54"/>
        <v/>
      </c>
      <c r="U473" s="262" t="str">
        <f t="shared" si="53"/>
        <v/>
      </c>
    </row>
    <row r="474" spans="10:21" ht="17.25" customHeight="1" x14ac:dyDescent="0.15">
      <c r="J474" s="266"/>
      <c r="K474" s="267"/>
      <c r="L474" s="267"/>
      <c r="M474" s="268" t="s">
        <v>367</v>
      </c>
      <c r="N474" s="269" t="str">
        <f>IF(K467&amp;L467&lt;&gt;"",IF($D$26&lt;&gt;"",$D$26,""),"")</f>
        <v/>
      </c>
      <c r="O474" s="270"/>
      <c r="P474" s="271" t="str">
        <f t="shared" si="51"/>
        <v/>
      </c>
      <c r="Q474" s="272"/>
      <c r="R474" s="255">
        <f t="shared" si="52"/>
        <v>0</v>
      </c>
      <c r="S474" s="255">
        <f>IF(S467&gt;0,R474*S467,99999999)</f>
        <v>99999999</v>
      </c>
      <c r="T474" s="262" t="str">
        <f t="shared" si="54"/>
        <v/>
      </c>
      <c r="U474" s="262" t="str">
        <f t="shared" si="53"/>
        <v/>
      </c>
    </row>
    <row r="475" spans="10:21" ht="17.25" customHeight="1" x14ac:dyDescent="0.15">
      <c r="J475" s="266"/>
      <c r="K475" s="267"/>
      <c r="L475" s="267"/>
      <c r="M475" s="268" t="s">
        <v>367</v>
      </c>
      <c r="N475" s="269" t="str">
        <f>IF(K467&amp;L467&lt;&gt;"",IF($D$27&lt;&gt;"",$D$27,""),"")</f>
        <v/>
      </c>
      <c r="O475" s="270"/>
      <c r="P475" s="271" t="str">
        <f t="shared" si="51"/>
        <v/>
      </c>
      <c r="Q475" s="272"/>
      <c r="R475" s="255">
        <f t="shared" si="52"/>
        <v>0</v>
      </c>
      <c r="S475" s="255">
        <f>IF(S467&gt;0,R475*S467,99999999)</f>
        <v>99999999</v>
      </c>
      <c r="T475" s="262" t="str">
        <f t="shared" si="54"/>
        <v/>
      </c>
      <c r="U475" s="262" t="str">
        <f t="shared" si="53"/>
        <v/>
      </c>
    </row>
    <row r="476" spans="10:21" ht="17.25" customHeight="1" x14ac:dyDescent="0.15">
      <c r="J476" s="266"/>
      <c r="K476" s="267"/>
      <c r="L476" s="267"/>
      <c r="M476" s="268" t="s">
        <v>367</v>
      </c>
      <c r="N476" s="269" t="str">
        <f>IF(K467&amp;L467&lt;&gt;"",IF($D$28&lt;&gt;"",$D$28,""),"")</f>
        <v/>
      </c>
      <c r="O476" s="270"/>
      <c r="P476" s="271" t="str">
        <f t="shared" si="51"/>
        <v/>
      </c>
      <c r="Q476" s="272"/>
      <c r="R476" s="255">
        <f t="shared" si="52"/>
        <v>0</v>
      </c>
      <c r="S476" s="255">
        <f>IF(S467&gt;0,R476*S467,99999999)</f>
        <v>99999999</v>
      </c>
      <c r="T476" s="262" t="str">
        <f t="shared" si="54"/>
        <v/>
      </c>
      <c r="U476" s="262" t="str">
        <f t="shared" si="53"/>
        <v/>
      </c>
    </row>
    <row r="477" spans="10:21" ht="17.25" customHeight="1" x14ac:dyDescent="0.15">
      <c r="J477" s="266"/>
      <c r="K477" s="267"/>
      <c r="L477" s="267"/>
      <c r="M477" s="268" t="s">
        <v>367</v>
      </c>
      <c r="N477" s="269" t="str">
        <f>IF(K467&amp;L467&lt;&gt;"",IF($D$29&lt;&gt;"",$D$29,""),"")</f>
        <v/>
      </c>
      <c r="O477" s="270"/>
      <c r="P477" s="271" t="str">
        <f t="shared" si="51"/>
        <v/>
      </c>
      <c r="Q477" s="272"/>
      <c r="R477" s="255">
        <f t="shared" si="52"/>
        <v>0</v>
      </c>
      <c r="S477" s="255">
        <f>IF(S467&gt;0,R477*S467,99999999)</f>
        <v>99999999</v>
      </c>
      <c r="T477" s="262" t="str">
        <f t="shared" si="54"/>
        <v/>
      </c>
      <c r="U477" s="262" t="str">
        <f t="shared" si="53"/>
        <v/>
      </c>
    </row>
    <row r="478" spans="10:21" ht="17.25" hidden="1" customHeight="1" outlineLevel="1" x14ac:dyDescent="0.15">
      <c r="J478" s="266"/>
      <c r="K478" s="267"/>
      <c r="L478" s="267"/>
      <c r="M478" s="268" t="s">
        <v>367</v>
      </c>
      <c r="N478" s="269" t="str">
        <f>IF(K467&amp;L467&lt;&gt;"",IF($D$30&lt;&gt;"",$D$30,""),"")</f>
        <v/>
      </c>
      <c r="O478" s="270"/>
      <c r="P478" s="271" t="str">
        <f t="shared" si="51"/>
        <v/>
      </c>
      <c r="Q478" s="272"/>
      <c r="R478" s="255">
        <f>IF(N478&lt;&gt;"",VLOOKUP(N478,$D$19:$E$34,2,FALSE),0)</f>
        <v>0</v>
      </c>
      <c r="S478" s="255">
        <f>IF(S467&gt;0,R478*S467,99999999)</f>
        <v>99999999</v>
      </c>
      <c r="T478" s="262" t="str">
        <f t="shared" si="54"/>
        <v/>
      </c>
      <c r="U478" s="262" t="str">
        <f t="shared" si="53"/>
        <v/>
      </c>
    </row>
    <row r="479" spans="10:21" ht="17.25" hidden="1" customHeight="1" outlineLevel="1" x14ac:dyDescent="0.15">
      <c r="J479" s="266"/>
      <c r="K479" s="267"/>
      <c r="L479" s="267"/>
      <c r="M479" s="268" t="s">
        <v>367</v>
      </c>
      <c r="N479" s="269" t="str">
        <f>IF(K467&amp;L467&lt;&gt;"",IF($D$31&lt;&gt;"",$D$31,""),"")</f>
        <v/>
      </c>
      <c r="O479" s="270"/>
      <c r="P479" s="271" t="str">
        <f t="shared" si="51"/>
        <v/>
      </c>
      <c r="Q479" s="272"/>
      <c r="R479" s="255">
        <f>IF(N479&lt;&gt;"",VLOOKUP(N479,$D$19:$E$34,2,FALSE),0)</f>
        <v>0</v>
      </c>
      <c r="S479" s="255">
        <f>IF(S467&gt;0,R479*S467,99999999)</f>
        <v>99999999</v>
      </c>
      <c r="T479" s="262" t="str">
        <f t="shared" si="54"/>
        <v/>
      </c>
      <c r="U479" s="262" t="str">
        <f t="shared" si="53"/>
        <v/>
      </c>
    </row>
    <row r="480" spans="10:21" ht="17.25" hidden="1" customHeight="1" outlineLevel="1" x14ac:dyDescent="0.15">
      <c r="J480" s="266"/>
      <c r="K480" s="267"/>
      <c r="L480" s="267"/>
      <c r="M480" s="268" t="s">
        <v>367</v>
      </c>
      <c r="N480" s="269" t="str">
        <f>IF(K467&amp;L467&lt;&gt;"",IF($D$32&lt;&gt;"",$D$32,""),"")</f>
        <v/>
      </c>
      <c r="O480" s="270"/>
      <c r="P480" s="271" t="str">
        <f t="shared" si="51"/>
        <v/>
      </c>
      <c r="Q480" s="272"/>
      <c r="R480" s="255">
        <f>IF(N480&lt;&gt;"",VLOOKUP(N480,$D$19:$E$34,2,FALSE),0)</f>
        <v>0</v>
      </c>
      <c r="S480" s="255">
        <f>IF(S467&gt;0,R480*S467,99999999)</f>
        <v>99999999</v>
      </c>
      <c r="T480" s="262" t="str">
        <f t="shared" si="54"/>
        <v/>
      </c>
      <c r="U480" s="262" t="str">
        <f t="shared" si="53"/>
        <v/>
      </c>
    </row>
    <row r="481" spans="10:21" ht="17.25" hidden="1" customHeight="1" outlineLevel="1" x14ac:dyDescent="0.15">
      <c r="J481" s="266"/>
      <c r="K481" s="267"/>
      <c r="L481" s="267"/>
      <c r="M481" s="268" t="s">
        <v>367</v>
      </c>
      <c r="N481" s="269" t="str">
        <f>IF(K467&amp;L467&lt;&gt;"",IF($D$33&lt;&gt;"",$D$33,""),"")</f>
        <v/>
      </c>
      <c r="O481" s="270"/>
      <c r="P481" s="271" t="str">
        <f t="shared" si="51"/>
        <v/>
      </c>
      <c r="Q481" s="272"/>
      <c r="R481" s="255">
        <f>IF(N481&lt;&gt;"",VLOOKUP(N481,$D$19:$E$34,2,FALSE),0)</f>
        <v>0</v>
      </c>
      <c r="S481" s="255">
        <f>IF(S467&gt;0,R481*S467,99999999)</f>
        <v>99999999</v>
      </c>
      <c r="T481" s="262" t="str">
        <f t="shared" si="54"/>
        <v/>
      </c>
      <c r="U481" s="262" t="str">
        <f t="shared" si="53"/>
        <v/>
      </c>
    </row>
    <row r="482" spans="10:21" ht="17.25" hidden="1" customHeight="1" outlineLevel="1" x14ac:dyDescent="0.15">
      <c r="J482" s="279"/>
      <c r="K482" s="280"/>
      <c r="L482" s="280"/>
      <c r="M482" s="281" t="s">
        <v>367</v>
      </c>
      <c r="N482" s="278" t="str">
        <f>IF(K467&amp;L467&lt;&gt;"",IF($D$34&lt;&gt;"",$D$34,""),"")</f>
        <v/>
      </c>
      <c r="O482" s="282"/>
      <c r="P482" s="271" t="str">
        <f t="shared" si="51"/>
        <v/>
      </c>
      <c r="Q482" s="283"/>
      <c r="R482" s="255">
        <f>IF(N482&lt;&gt;"",VLOOKUP(N482,$D$19:$E$34,2,FALSE),0)</f>
        <v>0</v>
      </c>
      <c r="S482" s="255">
        <f>IF(S467&gt;0,R482*S467,99999999)</f>
        <v>99999999</v>
      </c>
      <c r="T482" s="262" t="str">
        <f t="shared" si="54"/>
        <v/>
      </c>
      <c r="U482" s="262" t="str">
        <f t="shared" si="53"/>
        <v/>
      </c>
    </row>
    <row r="483" spans="10:21" ht="17.25" customHeight="1" collapsed="1" x14ac:dyDescent="0.15">
      <c r="J483" s="256">
        <v>30</v>
      </c>
      <c r="K483" s="257"/>
      <c r="L483" s="257"/>
      <c r="M483" s="258" t="s">
        <v>366</v>
      </c>
      <c r="N483" s="259" t="str">
        <f>IF(K483&amp;L483&lt;&gt;"",IF($D$19&lt;&gt;"",$D$19,""),"")</f>
        <v/>
      </c>
      <c r="O483" s="257"/>
      <c r="P483" s="260" t="str">
        <f t="shared" si="51"/>
        <v/>
      </c>
      <c r="Q483" s="261"/>
      <c r="R483" s="255">
        <f t="shared" ref="R483:R493" si="55">IF(N483&lt;&gt;"",VLOOKUP(N483,$D$19:$E$29,2,FALSE),0)</f>
        <v>0</v>
      </c>
      <c r="S483" s="255">
        <f>IF($E$19&gt;0,IF(MOD(O483,$E$19)=0,O483/$E$19,-1),-1)</f>
        <v>-1</v>
      </c>
      <c r="T483" s="262" t="str">
        <f>IF(N483&lt;&gt;"",IF(O483&lt;&gt;"",IF(S483&gt;0,"OK","数量が不足しています"),"数量が未入力です"),"")</f>
        <v/>
      </c>
      <c r="U483" s="262" t="str">
        <f t="shared" si="53"/>
        <v/>
      </c>
    </row>
    <row r="484" spans="10:21" ht="17.25" customHeight="1" x14ac:dyDescent="0.15">
      <c r="J484" s="266"/>
      <c r="K484" s="267"/>
      <c r="L484" s="267"/>
      <c r="M484" s="268" t="s">
        <v>367</v>
      </c>
      <c r="N484" s="269" t="str">
        <f>IF(K483&amp;L483&lt;&gt;"",IF($D$20&lt;&gt;"",$D$20,""),"")</f>
        <v/>
      </c>
      <c r="O484" s="270"/>
      <c r="P484" s="271" t="str">
        <f t="shared" si="51"/>
        <v/>
      </c>
      <c r="Q484" s="272"/>
      <c r="R484" s="255">
        <f t="shared" si="55"/>
        <v>0</v>
      </c>
      <c r="S484" s="255">
        <f>IF(S483&gt;0,R484*S483,99999999)</f>
        <v>99999999</v>
      </c>
      <c r="T484" s="262" t="str">
        <f t="shared" si="54"/>
        <v/>
      </c>
      <c r="U484" s="262" t="str">
        <f t="shared" si="53"/>
        <v/>
      </c>
    </row>
    <row r="485" spans="10:21" ht="17.25" customHeight="1" x14ac:dyDescent="0.15">
      <c r="J485" s="266"/>
      <c r="K485" s="267"/>
      <c r="L485" s="267"/>
      <c r="M485" s="268" t="s">
        <v>367</v>
      </c>
      <c r="N485" s="269" t="str">
        <f>IF(K483&amp;L483&lt;&gt;"",IF($D$21&lt;&gt;"",$D$21,""),"")</f>
        <v/>
      </c>
      <c r="O485" s="270"/>
      <c r="P485" s="271" t="str">
        <f t="shared" si="51"/>
        <v/>
      </c>
      <c r="Q485" s="272"/>
      <c r="R485" s="255">
        <f t="shared" si="55"/>
        <v>0</v>
      </c>
      <c r="S485" s="255">
        <f>IF(S483&gt;0,R485*S483,99999999)</f>
        <v>99999999</v>
      </c>
      <c r="T485" s="262" t="str">
        <f t="shared" si="54"/>
        <v/>
      </c>
      <c r="U485" s="262" t="str">
        <f t="shared" si="53"/>
        <v/>
      </c>
    </row>
    <row r="486" spans="10:21" ht="17.25" customHeight="1" x14ac:dyDescent="0.15">
      <c r="J486" s="266"/>
      <c r="K486" s="267"/>
      <c r="L486" s="267"/>
      <c r="M486" s="268" t="s">
        <v>367</v>
      </c>
      <c r="N486" s="269" t="str">
        <f>IF(K483&amp;L483&lt;&gt;"",IF($D$22&lt;&gt;"",$D$22,""),"")</f>
        <v/>
      </c>
      <c r="O486" s="270"/>
      <c r="P486" s="271" t="str">
        <f t="shared" si="51"/>
        <v/>
      </c>
      <c r="Q486" s="272"/>
      <c r="R486" s="255">
        <f t="shared" si="55"/>
        <v>0</v>
      </c>
      <c r="S486" s="255">
        <f>IF(S483&gt;0,R486*S483,99999999)</f>
        <v>99999999</v>
      </c>
      <c r="T486" s="262" t="str">
        <f t="shared" si="54"/>
        <v/>
      </c>
      <c r="U486" s="262" t="str">
        <f t="shared" si="53"/>
        <v/>
      </c>
    </row>
    <row r="487" spans="10:21" ht="17.25" customHeight="1" x14ac:dyDescent="0.15">
      <c r="J487" s="266"/>
      <c r="K487" s="267"/>
      <c r="L487" s="267"/>
      <c r="M487" s="268" t="s">
        <v>367</v>
      </c>
      <c r="N487" s="269" t="str">
        <f>IF(K483&amp;L483&lt;&gt;"",IF($D$23&lt;&gt;"",$D$23,""),"")</f>
        <v/>
      </c>
      <c r="O487" s="270"/>
      <c r="P487" s="271" t="str">
        <f t="shared" si="51"/>
        <v/>
      </c>
      <c r="Q487" s="272"/>
      <c r="R487" s="255">
        <f t="shared" si="55"/>
        <v>0</v>
      </c>
      <c r="S487" s="255">
        <f>IF(S483&gt;0,R487*S483,99999999)</f>
        <v>99999999</v>
      </c>
      <c r="T487" s="262" t="str">
        <f t="shared" si="54"/>
        <v/>
      </c>
      <c r="U487" s="262" t="str">
        <f t="shared" si="53"/>
        <v/>
      </c>
    </row>
    <row r="488" spans="10:21" ht="17.25" customHeight="1" x14ac:dyDescent="0.15">
      <c r="J488" s="266"/>
      <c r="K488" s="267"/>
      <c r="L488" s="267"/>
      <c r="M488" s="268" t="s">
        <v>367</v>
      </c>
      <c r="N488" s="269" t="str">
        <f>IF(K483&amp;L483&lt;&gt;"",IF($D$24&lt;&gt;"",$D$24,""),"")</f>
        <v/>
      </c>
      <c r="O488" s="270"/>
      <c r="P488" s="271" t="str">
        <f t="shared" si="51"/>
        <v/>
      </c>
      <c r="Q488" s="272"/>
      <c r="R488" s="255">
        <f t="shared" si="55"/>
        <v>0</v>
      </c>
      <c r="S488" s="255">
        <f>IF(S483&gt;0,R488*S483,99999999)</f>
        <v>99999999</v>
      </c>
      <c r="T488" s="262" t="str">
        <f t="shared" si="54"/>
        <v/>
      </c>
      <c r="U488" s="262" t="str">
        <f t="shared" si="53"/>
        <v/>
      </c>
    </row>
    <row r="489" spans="10:21" ht="17.25" customHeight="1" x14ac:dyDescent="0.15">
      <c r="J489" s="266"/>
      <c r="K489" s="267"/>
      <c r="L489" s="267"/>
      <c r="M489" s="268" t="s">
        <v>367</v>
      </c>
      <c r="N489" s="269" t="str">
        <f>IF(K483&amp;L483&lt;&gt;"",IF($D$25&lt;&gt;"",$D$25,""),"")</f>
        <v/>
      </c>
      <c r="O489" s="270"/>
      <c r="P489" s="271" t="str">
        <f t="shared" si="51"/>
        <v/>
      </c>
      <c r="Q489" s="272"/>
      <c r="R489" s="255">
        <f t="shared" si="55"/>
        <v>0</v>
      </c>
      <c r="S489" s="255">
        <f>IF(S483&gt;0,R489*S483,99999999)</f>
        <v>99999999</v>
      </c>
      <c r="T489" s="262" t="str">
        <f t="shared" si="54"/>
        <v/>
      </c>
      <c r="U489" s="262" t="str">
        <f t="shared" si="53"/>
        <v/>
      </c>
    </row>
    <row r="490" spans="10:21" ht="17.25" customHeight="1" x14ac:dyDescent="0.15">
      <c r="J490" s="266"/>
      <c r="K490" s="267"/>
      <c r="L490" s="267"/>
      <c r="M490" s="268" t="s">
        <v>367</v>
      </c>
      <c r="N490" s="269" t="str">
        <f>IF(K483&amp;L483&lt;&gt;"",IF($D$26&lt;&gt;"",$D$26,""),"")</f>
        <v/>
      </c>
      <c r="O490" s="270"/>
      <c r="P490" s="271" t="str">
        <f t="shared" si="51"/>
        <v/>
      </c>
      <c r="Q490" s="272"/>
      <c r="R490" s="255">
        <f t="shared" si="55"/>
        <v>0</v>
      </c>
      <c r="S490" s="255">
        <f>IF(S483&gt;0,R490*S483,99999999)</f>
        <v>99999999</v>
      </c>
      <c r="T490" s="262" t="str">
        <f t="shared" si="54"/>
        <v/>
      </c>
      <c r="U490" s="262" t="str">
        <f t="shared" si="53"/>
        <v/>
      </c>
    </row>
    <row r="491" spans="10:21" ht="17.25" customHeight="1" x14ac:dyDescent="0.15">
      <c r="J491" s="266"/>
      <c r="K491" s="267"/>
      <c r="L491" s="267"/>
      <c r="M491" s="268" t="s">
        <v>367</v>
      </c>
      <c r="N491" s="269" t="str">
        <f>IF(K483&amp;L483&lt;&gt;"",IF($D$27&lt;&gt;"",$D$27,""),"")</f>
        <v/>
      </c>
      <c r="O491" s="270"/>
      <c r="P491" s="271" t="str">
        <f t="shared" si="51"/>
        <v/>
      </c>
      <c r="Q491" s="272"/>
      <c r="R491" s="255">
        <f t="shared" si="55"/>
        <v>0</v>
      </c>
      <c r="S491" s="255">
        <f>IF(S483&gt;0,R491*S483,99999999)</f>
        <v>99999999</v>
      </c>
      <c r="T491" s="262" t="str">
        <f t="shared" si="54"/>
        <v/>
      </c>
      <c r="U491" s="262" t="str">
        <f t="shared" si="53"/>
        <v/>
      </c>
    </row>
    <row r="492" spans="10:21" ht="17.25" customHeight="1" x14ac:dyDescent="0.15">
      <c r="J492" s="266"/>
      <c r="K492" s="267"/>
      <c r="L492" s="267"/>
      <c r="M492" s="268" t="s">
        <v>367</v>
      </c>
      <c r="N492" s="269" t="str">
        <f>IF(K483&amp;L483&lt;&gt;"",IF($D$28&lt;&gt;"",$D$28,""),"")</f>
        <v/>
      </c>
      <c r="O492" s="270"/>
      <c r="P492" s="271" t="str">
        <f t="shared" si="51"/>
        <v/>
      </c>
      <c r="Q492" s="272"/>
      <c r="R492" s="255">
        <f t="shared" si="55"/>
        <v>0</v>
      </c>
      <c r="S492" s="255">
        <f>IF(S483&gt;0,R492*S483,99999999)</f>
        <v>99999999</v>
      </c>
      <c r="T492" s="262" t="str">
        <f t="shared" si="54"/>
        <v/>
      </c>
      <c r="U492" s="262" t="str">
        <f t="shared" si="53"/>
        <v/>
      </c>
    </row>
    <row r="493" spans="10:21" ht="17.25" customHeight="1" x14ac:dyDescent="0.15">
      <c r="J493" s="266"/>
      <c r="K493" s="267"/>
      <c r="L493" s="267"/>
      <c r="M493" s="268" t="s">
        <v>367</v>
      </c>
      <c r="N493" s="269" t="str">
        <f>IF(K483&amp;L483&lt;&gt;"",IF($D$29&lt;&gt;"",$D$29,""),"")</f>
        <v/>
      </c>
      <c r="O493" s="270"/>
      <c r="P493" s="271" t="str">
        <f t="shared" si="51"/>
        <v/>
      </c>
      <c r="Q493" s="272"/>
      <c r="R493" s="255">
        <f t="shared" si="55"/>
        <v>0</v>
      </c>
      <c r="S493" s="255">
        <f>IF(S483&gt;0,R493*S483,99999999)</f>
        <v>99999999</v>
      </c>
      <c r="T493" s="262" t="str">
        <f t="shared" si="54"/>
        <v/>
      </c>
      <c r="U493" s="262" t="str">
        <f t="shared" si="53"/>
        <v/>
      </c>
    </row>
    <row r="494" spans="10:21" ht="17.25" hidden="1" customHeight="1" outlineLevel="1" x14ac:dyDescent="0.15">
      <c r="J494" s="266"/>
      <c r="K494" s="267"/>
      <c r="L494" s="267"/>
      <c r="M494" s="268" t="s">
        <v>367</v>
      </c>
      <c r="N494" s="269" t="str">
        <f>IF(K483&amp;L483&lt;&gt;"",IF($D$30&lt;&gt;"",$D$30,""),"")</f>
        <v/>
      </c>
      <c r="O494" s="270"/>
      <c r="P494" s="271" t="str">
        <f t="shared" si="51"/>
        <v/>
      </c>
      <c r="Q494" s="272"/>
      <c r="R494" s="255">
        <f>IF(N494&lt;&gt;"",VLOOKUP(N494,$D$19:$E$34,2,FALSE),0)</f>
        <v>0</v>
      </c>
      <c r="S494" s="255">
        <f>R494*S483</f>
        <v>0</v>
      </c>
      <c r="T494" s="262" t="str">
        <f t="shared" ref="T494:T498" si="56">IF(N494&lt;&gt;"",IF(O494&lt;&gt;"",IF(O494&gt;=S494,"OK","数量が不足しています"),"数量が未入力です"),"")</f>
        <v/>
      </c>
      <c r="U494" s="262" t="str">
        <f t="shared" ref="U494:U498" si="57">IF(O494&lt;&gt;"",IF(Q494&lt;&gt;"","OK","未入力です"),"")</f>
        <v/>
      </c>
    </row>
    <row r="495" spans="10:21" ht="17.25" hidden="1" customHeight="1" outlineLevel="1" x14ac:dyDescent="0.15">
      <c r="J495" s="266"/>
      <c r="K495" s="267"/>
      <c r="L495" s="267"/>
      <c r="M495" s="268" t="s">
        <v>367</v>
      </c>
      <c r="N495" s="269" t="str">
        <f>IF(K483&amp;L483&lt;&gt;"",IF($D$31&lt;&gt;"",$D$31,""),"")</f>
        <v/>
      </c>
      <c r="O495" s="270"/>
      <c r="P495" s="271" t="str">
        <f t="shared" si="51"/>
        <v/>
      </c>
      <c r="Q495" s="272"/>
      <c r="R495" s="255">
        <f>IF(N495&lt;&gt;"",VLOOKUP(N495,$D$19:$E$34,2,FALSE),0)</f>
        <v>0</v>
      </c>
      <c r="S495" s="255">
        <f>R495*S483</f>
        <v>0</v>
      </c>
      <c r="T495" s="262" t="str">
        <f t="shared" si="56"/>
        <v/>
      </c>
      <c r="U495" s="262" t="str">
        <f t="shared" si="57"/>
        <v/>
      </c>
    </row>
    <row r="496" spans="10:21" ht="17.25" hidden="1" customHeight="1" outlineLevel="1" x14ac:dyDescent="0.15">
      <c r="J496" s="266"/>
      <c r="K496" s="267"/>
      <c r="L496" s="267"/>
      <c r="M496" s="268" t="s">
        <v>367</v>
      </c>
      <c r="N496" s="269" t="str">
        <f>IF(K483&amp;L483&lt;&gt;"",IF($D$32&lt;&gt;"",$D$32,""),"")</f>
        <v/>
      </c>
      <c r="O496" s="270"/>
      <c r="P496" s="271" t="str">
        <f t="shared" si="51"/>
        <v/>
      </c>
      <c r="Q496" s="272"/>
      <c r="R496" s="255">
        <f>IF(N496&lt;&gt;"",VLOOKUP(N496,$D$19:$E$34,2,FALSE),0)</f>
        <v>0</v>
      </c>
      <c r="S496" s="255">
        <f>R496*S483</f>
        <v>0</v>
      </c>
      <c r="T496" s="262" t="str">
        <f t="shared" si="56"/>
        <v/>
      </c>
      <c r="U496" s="262" t="str">
        <f t="shared" si="57"/>
        <v/>
      </c>
    </row>
    <row r="497" spans="10:21" ht="17.25" hidden="1" customHeight="1" outlineLevel="1" x14ac:dyDescent="0.15">
      <c r="J497" s="266"/>
      <c r="K497" s="267"/>
      <c r="L497" s="267"/>
      <c r="M497" s="268" t="s">
        <v>367</v>
      </c>
      <c r="N497" s="269" t="str">
        <f>IF(K483&amp;L483&lt;&gt;"",IF($D$33&lt;&gt;"",$D$33,""),"")</f>
        <v/>
      </c>
      <c r="O497" s="270"/>
      <c r="P497" s="271" t="str">
        <f t="shared" si="51"/>
        <v/>
      </c>
      <c r="Q497" s="272"/>
      <c r="R497" s="255">
        <f>IF(N497&lt;&gt;"",VLOOKUP(N497,$D$19:$E$34,2,FALSE),0)</f>
        <v>0</v>
      </c>
      <c r="S497" s="255">
        <f>R497*S483</f>
        <v>0</v>
      </c>
      <c r="T497" s="262" t="str">
        <f t="shared" si="56"/>
        <v/>
      </c>
      <c r="U497" s="262" t="str">
        <f t="shared" si="57"/>
        <v/>
      </c>
    </row>
    <row r="498" spans="10:21" ht="17.25" hidden="1" customHeight="1" outlineLevel="1" x14ac:dyDescent="0.15">
      <c r="J498" s="279"/>
      <c r="K498" s="280"/>
      <c r="L498" s="280"/>
      <c r="M498" s="281" t="s">
        <v>367</v>
      </c>
      <c r="N498" s="278" t="str">
        <f>IF(K483&amp;L483&lt;&gt;"",IF($D$34&lt;&gt;"",$D$34,""),"")</f>
        <v/>
      </c>
      <c r="O498" s="282"/>
      <c r="P498" s="271" t="str">
        <f t="shared" si="51"/>
        <v/>
      </c>
      <c r="Q498" s="283"/>
      <c r="R498" s="255">
        <f>IF(N498&lt;&gt;"",VLOOKUP(N498,$D$19:$E$34,2,FALSE),0)</f>
        <v>0</v>
      </c>
      <c r="S498" s="255">
        <f>R498*S483</f>
        <v>0</v>
      </c>
      <c r="T498" s="262" t="str">
        <f t="shared" si="56"/>
        <v/>
      </c>
      <c r="U498" s="262" t="str">
        <f t="shared" si="57"/>
        <v/>
      </c>
    </row>
    <row r="499" spans="10:21" ht="17.25" customHeight="1" collapsed="1" x14ac:dyDescent="0.15"/>
  </sheetData>
  <sheetProtection algorithmName="SHA-512" hashValue="aEeqVyMK6y6yIalrN+HMH/yDo34sydFdYaa+VKrv8gI2/U7OIlBYpzF8zsvSpmdRF0sL+4kntVCh7Kz/IzIe2w==" saltValue="8xUGbneaq/p8u49uPQ9fH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69B5D7AD-5256-48F9-A7D1-98D51C7F6D73}">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32" customWidth="1"/>
    <col min="47" max="47" width="8" style="45" hidden="1" customWidth="1"/>
    <col min="48" max="48" width="28.375" style="42" customWidth="1"/>
    <col min="49" max="57" width="2.125" style="32" customWidth="1"/>
    <col min="58" max="61" width="3.5" style="32" customWidth="1"/>
    <col min="62" max="16384" width="8.875" style="32"/>
  </cols>
  <sheetData>
    <row r="1" spans="1:48" x14ac:dyDescent="0.15">
      <c r="A1" s="387" t="s">
        <v>76</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row>
    <row r="2" spans="1:48" x14ac:dyDescent="0.15">
      <c r="A2" s="390"/>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2"/>
      <c r="AV2" s="126" t="str">
        <f>'②製品審査申請書（事務局用）'!AV10</f>
        <v>登録済の場合必須：製造事業者番号</v>
      </c>
    </row>
    <row r="3" spans="1:48" x14ac:dyDescent="0.15">
      <c r="A3" s="374" t="str">
        <f>"【"&amp;製品カテゴリ&amp;"】"</f>
        <v>【測量機（自動視準・自動追尾機能付き高機能トータルステーション）】</v>
      </c>
      <c r="B3" s="374"/>
      <c r="C3" s="374"/>
      <c r="D3" s="374"/>
      <c r="E3" s="374"/>
      <c r="F3" s="374"/>
      <c r="G3" s="374"/>
      <c r="H3" s="374"/>
      <c r="I3" s="374"/>
      <c r="J3" s="374"/>
      <c r="K3" s="374"/>
      <c r="L3" s="374"/>
      <c r="M3" s="374"/>
      <c r="N3" s="374"/>
      <c r="O3" s="374"/>
      <c r="P3" s="374"/>
      <c r="Q3" s="374"/>
      <c r="R3" s="374"/>
      <c r="S3" s="374"/>
      <c r="T3" s="374"/>
      <c r="U3" s="374"/>
      <c r="V3" s="374"/>
      <c r="W3" s="374"/>
      <c r="X3" s="577" t="str">
        <f>IF(AV2="OK","記載不要",IF(AV3=AU3,"","未入力または適切ではない項目があります"))</f>
        <v>未入力または適切ではない項目があります</v>
      </c>
      <c r="Y3" s="577"/>
      <c r="Z3" s="577"/>
      <c r="AA3" s="577"/>
      <c r="AB3" s="577"/>
      <c r="AC3" s="577"/>
      <c r="AD3" s="577"/>
      <c r="AE3" s="577"/>
      <c r="AF3" s="577"/>
      <c r="AG3" s="577"/>
      <c r="AH3" s="577"/>
      <c r="AI3" s="577"/>
      <c r="AJ3" s="577"/>
      <c r="AK3" s="577"/>
      <c r="AL3" s="577"/>
      <c r="AM3" s="577"/>
      <c r="AN3" s="577"/>
      <c r="AO3" s="577"/>
      <c r="AP3" s="385" t="s">
        <v>32</v>
      </c>
      <c r="AQ3" s="385"/>
      <c r="AR3" s="385"/>
      <c r="AS3" s="385"/>
      <c r="AT3" s="385"/>
      <c r="AU3" s="45">
        <v>6</v>
      </c>
      <c r="AV3" s="47">
        <f>COUNTIF(AV8:AV38,"OK")</f>
        <v>0</v>
      </c>
    </row>
    <row r="4" spans="1:48" x14ac:dyDescent="0.15">
      <c r="A4" s="377"/>
      <c r="B4" s="377"/>
      <c r="C4" s="377"/>
      <c r="D4" s="377"/>
      <c r="E4" s="377"/>
      <c r="F4" s="377"/>
      <c r="G4" s="377"/>
      <c r="H4" s="377"/>
      <c r="I4" s="377"/>
      <c r="J4" s="377"/>
      <c r="K4" s="377"/>
      <c r="L4" s="377"/>
      <c r="M4" s="377"/>
      <c r="N4" s="377"/>
      <c r="O4" s="377"/>
      <c r="P4" s="377"/>
      <c r="Q4" s="377"/>
      <c r="R4" s="377"/>
      <c r="S4" s="377"/>
      <c r="T4" s="377"/>
      <c r="U4" s="377"/>
      <c r="V4" s="377"/>
      <c r="W4" s="377"/>
      <c r="X4" s="578"/>
      <c r="Y4" s="578"/>
      <c r="Z4" s="578"/>
      <c r="AA4" s="578"/>
      <c r="AB4" s="578"/>
      <c r="AC4" s="578"/>
      <c r="AD4" s="578"/>
      <c r="AE4" s="578"/>
      <c r="AF4" s="578"/>
      <c r="AG4" s="578"/>
      <c r="AH4" s="578"/>
      <c r="AI4" s="578"/>
      <c r="AJ4" s="578"/>
      <c r="AK4" s="578"/>
      <c r="AL4" s="578"/>
      <c r="AM4" s="578"/>
      <c r="AN4" s="578"/>
      <c r="AO4" s="578"/>
      <c r="AP4" s="386"/>
      <c r="AQ4" s="386"/>
      <c r="AR4" s="386"/>
      <c r="AS4" s="386"/>
      <c r="AT4" s="386"/>
    </row>
    <row r="5" spans="1:48" x14ac:dyDescent="0.15">
      <c r="A5" s="81"/>
      <c r="B5" s="579" t="s">
        <v>33</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82"/>
    </row>
    <row r="6" spans="1:48" x14ac:dyDescent="0.15">
      <c r="A6" s="36"/>
      <c r="B6" s="358" t="s">
        <v>34</v>
      </c>
      <c r="C6" s="358"/>
      <c r="D6" s="358"/>
      <c r="E6" s="358"/>
      <c r="F6" s="358"/>
      <c r="G6" s="358"/>
      <c r="H6" s="358"/>
      <c r="I6" s="358"/>
      <c r="J6" s="358"/>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row>
    <row r="7" spans="1:48" x14ac:dyDescent="0.15">
      <c r="A7" s="36"/>
      <c r="B7" s="359"/>
      <c r="C7" s="359"/>
      <c r="D7" s="359"/>
      <c r="E7" s="359"/>
      <c r="F7" s="359"/>
      <c r="G7" s="359"/>
      <c r="H7" s="359"/>
      <c r="I7" s="359"/>
      <c r="J7" s="358"/>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row>
    <row r="8" spans="1:48" x14ac:dyDescent="0.15">
      <c r="A8" s="36"/>
      <c r="B8" s="422" t="s">
        <v>77</v>
      </c>
      <c r="C8" s="423"/>
      <c r="D8" s="423"/>
      <c r="E8" s="423"/>
      <c r="F8" s="423"/>
      <c r="G8" s="423"/>
      <c r="H8" s="423"/>
      <c r="I8" s="455"/>
      <c r="J8" s="531">
        <f>製造事業者名</f>
        <v>0</v>
      </c>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3"/>
      <c r="AT8" s="36"/>
    </row>
    <row r="9" spans="1:48" ht="12.75" thickBot="1" x14ac:dyDescent="0.2">
      <c r="A9" s="36"/>
      <c r="B9" s="426"/>
      <c r="C9" s="427"/>
      <c r="D9" s="427"/>
      <c r="E9" s="427"/>
      <c r="F9" s="427"/>
      <c r="G9" s="427"/>
      <c r="H9" s="427"/>
      <c r="I9" s="456"/>
      <c r="J9" s="534"/>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6"/>
      <c r="AT9" s="36"/>
    </row>
    <row r="10" spans="1:48" x14ac:dyDescent="0.15">
      <c r="A10" s="36"/>
      <c r="B10" s="422" t="s">
        <v>78</v>
      </c>
      <c r="C10" s="423"/>
      <c r="D10" s="423"/>
      <c r="E10" s="423"/>
      <c r="F10" s="423"/>
      <c r="G10" s="423"/>
      <c r="H10" s="423"/>
      <c r="I10" s="423"/>
      <c r="J10" s="603"/>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5"/>
      <c r="AT10" s="36"/>
      <c r="AV10" s="43" t="str">
        <f>IF(J10&lt;&gt;"","OK","必須")</f>
        <v>必須</v>
      </c>
    </row>
    <row r="11" spans="1:48" ht="12.75" thickBot="1" x14ac:dyDescent="0.2">
      <c r="A11" s="36"/>
      <c r="B11" s="426"/>
      <c r="C11" s="427"/>
      <c r="D11" s="427"/>
      <c r="E11" s="427"/>
      <c r="F11" s="427"/>
      <c r="G11" s="427"/>
      <c r="H11" s="427"/>
      <c r="I11" s="427"/>
      <c r="J11" s="606"/>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8"/>
      <c r="AT11" s="36"/>
    </row>
    <row r="12" spans="1:48" x14ac:dyDescent="0.15">
      <c r="A12" s="36"/>
      <c r="B12" s="422" t="s">
        <v>79</v>
      </c>
      <c r="C12" s="423"/>
      <c r="D12" s="423"/>
      <c r="E12" s="423"/>
      <c r="F12" s="423"/>
      <c r="G12" s="423"/>
      <c r="H12" s="423"/>
      <c r="I12" s="423"/>
      <c r="J12" s="603"/>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5"/>
      <c r="AT12" s="36"/>
      <c r="AV12" s="43" t="str">
        <f>IF(J12&lt;&gt;"","OK","必須")</f>
        <v>必須</v>
      </c>
    </row>
    <row r="13" spans="1:48" ht="12.75" thickBot="1" x14ac:dyDescent="0.2">
      <c r="A13" s="36"/>
      <c r="B13" s="426"/>
      <c r="C13" s="427"/>
      <c r="D13" s="427"/>
      <c r="E13" s="427"/>
      <c r="F13" s="427"/>
      <c r="G13" s="427"/>
      <c r="H13" s="427"/>
      <c r="I13" s="427"/>
      <c r="J13" s="606"/>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8"/>
      <c r="AT13" s="36"/>
    </row>
    <row r="14" spans="1:48" x14ac:dyDescent="0.15">
      <c r="A14" s="36"/>
      <c r="B14" s="422" t="s">
        <v>37</v>
      </c>
      <c r="C14" s="423"/>
      <c r="D14" s="423"/>
      <c r="E14" s="423"/>
      <c r="F14" s="423"/>
      <c r="G14" s="423"/>
      <c r="H14" s="423"/>
      <c r="I14" s="423"/>
      <c r="J14" s="609">
        <f>法人番号</f>
        <v>0</v>
      </c>
      <c r="K14" s="610"/>
      <c r="L14" s="610"/>
      <c r="M14" s="610"/>
      <c r="N14" s="610"/>
      <c r="O14" s="610"/>
      <c r="P14" s="610"/>
      <c r="Q14" s="610"/>
      <c r="R14" s="610"/>
      <c r="S14" s="610"/>
      <c r="T14" s="610"/>
      <c r="U14" s="611"/>
      <c r="V14" s="114"/>
      <c r="W14" s="116" t="s">
        <v>35</v>
      </c>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6"/>
      <c r="AV14" s="42" t="str">
        <f>IF(J14&lt;&gt;"",IF(LEN(ASC(J14))=13,IF(ISNUMBER(J14),"OK","半角数字で入力してください"),"半角数字13桁で入力してください"),"必須")</f>
        <v>半角数字13桁で入力してください</v>
      </c>
    </row>
    <row r="15" spans="1:48" ht="13.5" x14ac:dyDescent="0.15">
      <c r="A15" s="36"/>
      <c r="B15" s="426"/>
      <c r="C15" s="427"/>
      <c r="D15" s="427"/>
      <c r="E15" s="427"/>
      <c r="F15" s="427"/>
      <c r="G15" s="427"/>
      <c r="H15" s="427"/>
      <c r="I15" s="427"/>
      <c r="J15" s="612"/>
      <c r="K15" s="613"/>
      <c r="L15" s="613"/>
      <c r="M15" s="613"/>
      <c r="N15" s="613"/>
      <c r="O15" s="613"/>
      <c r="P15" s="613"/>
      <c r="Q15" s="613"/>
      <c r="R15" s="613"/>
      <c r="S15" s="613"/>
      <c r="T15" s="613"/>
      <c r="U15" s="614"/>
      <c r="V15" s="114"/>
      <c r="W15" s="115" t="s">
        <v>36</v>
      </c>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36"/>
    </row>
    <row r="16" spans="1:48" x14ac:dyDescent="0.15">
      <c r="A16" s="36"/>
      <c r="B16" s="358" t="s">
        <v>80</v>
      </c>
      <c r="C16" s="358"/>
      <c r="D16" s="358"/>
      <c r="E16" s="358"/>
      <c r="F16" s="358"/>
      <c r="G16" s="358"/>
      <c r="H16" s="358"/>
      <c r="I16" s="358"/>
      <c r="J16" s="358"/>
      <c r="K16" s="358"/>
      <c r="L16" s="358"/>
      <c r="M16" s="358"/>
      <c r="N16" s="358"/>
      <c r="O16" s="358"/>
      <c r="P16" s="358"/>
      <c r="Q16" s="358"/>
      <c r="R16" s="358"/>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row>
    <row r="17" spans="1:48" ht="12.75" thickBot="1" x14ac:dyDescent="0.2">
      <c r="A17" s="36"/>
      <c r="B17" s="359"/>
      <c r="C17" s="359"/>
      <c r="D17" s="359"/>
      <c r="E17" s="359"/>
      <c r="F17" s="359"/>
      <c r="G17" s="359"/>
      <c r="H17" s="359"/>
      <c r="I17" s="359"/>
      <c r="J17" s="358"/>
      <c r="K17" s="358"/>
      <c r="L17" s="358"/>
      <c r="M17" s="358"/>
      <c r="N17" s="358"/>
      <c r="O17" s="358"/>
      <c r="P17" s="358"/>
      <c r="Q17" s="358"/>
      <c r="R17" s="358"/>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row>
    <row r="18" spans="1:48" ht="12.95" customHeight="1" x14ac:dyDescent="0.15">
      <c r="A18" s="36"/>
      <c r="B18" s="441" t="s">
        <v>81</v>
      </c>
      <c r="C18" s="423"/>
      <c r="D18" s="423"/>
      <c r="E18" s="423"/>
      <c r="F18" s="423"/>
      <c r="G18" s="423"/>
      <c r="H18" s="423"/>
      <c r="I18" s="423"/>
      <c r="J18" s="600"/>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6"/>
      <c r="AT18" s="36"/>
    </row>
    <row r="19" spans="1:48" x14ac:dyDescent="0.15">
      <c r="A19" s="36"/>
      <c r="B19" s="424"/>
      <c r="C19" s="425"/>
      <c r="D19" s="425"/>
      <c r="E19" s="425"/>
      <c r="F19" s="425"/>
      <c r="G19" s="425"/>
      <c r="H19" s="425"/>
      <c r="I19" s="425"/>
      <c r="J19" s="537"/>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9"/>
      <c r="AT19" s="36"/>
      <c r="AV19" s="43" t="str">
        <f>IF(J18&lt;&gt;"","OK","必須")</f>
        <v>必須</v>
      </c>
    </row>
    <row r="20" spans="1:48" x14ac:dyDescent="0.15">
      <c r="A20" s="36"/>
      <c r="B20" s="424"/>
      <c r="C20" s="425"/>
      <c r="D20" s="425"/>
      <c r="E20" s="425"/>
      <c r="F20" s="425"/>
      <c r="G20" s="425"/>
      <c r="H20" s="425"/>
      <c r="I20" s="425"/>
      <c r="J20" s="53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9"/>
      <c r="AT20" s="36"/>
    </row>
    <row r="21" spans="1:48" ht="12.75" thickBot="1" x14ac:dyDescent="0.2">
      <c r="A21" s="36"/>
      <c r="B21" s="426"/>
      <c r="C21" s="427"/>
      <c r="D21" s="427"/>
      <c r="E21" s="427"/>
      <c r="F21" s="427"/>
      <c r="G21" s="484"/>
      <c r="H21" s="484"/>
      <c r="I21" s="484"/>
      <c r="J21" s="601"/>
      <c r="K21" s="602"/>
      <c r="L21" s="602"/>
      <c r="M21" s="602"/>
      <c r="N21" s="602"/>
      <c r="O21" s="602"/>
      <c r="P21" s="602"/>
      <c r="Q21" s="602"/>
      <c r="R21" s="602"/>
      <c r="S21" s="602"/>
      <c r="T21" s="602"/>
      <c r="U21" s="602"/>
      <c r="V21" s="602"/>
      <c r="W21" s="602"/>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9"/>
      <c r="AT21" s="36"/>
    </row>
    <row r="22" spans="1:48" x14ac:dyDescent="0.15">
      <c r="A22" s="36"/>
      <c r="B22" s="438" t="s">
        <v>82</v>
      </c>
      <c r="C22" s="438"/>
      <c r="D22" s="438"/>
      <c r="E22" s="438"/>
      <c r="F22" s="438"/>
      <c r="G22" s="438"/>
      <c r="H22" s="438"/>
      <c r="I22" s="438"/>
      <c r="J22" s="438"/>
      <c r="K22" s="438"/>
      <c r="L22" s="438"/>
      <c r="M22" s="438"/>
      <c r="N22" s="438"/>
      <c r="O22" s="438"/>
      <c r="P22" s="438"/>
      <c r="Q22" s="438"/>
      <c r="R22" s="438"/>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36"/>
    </row>
    <row r="23" spans="1:48" ht="12.75" thickBot="1" x14ac:dyDescent="0.2">
      <c r="A23" s="36"/>
      <c r="B23" s="585"/>
      <c r="C23" s="585"/>
      <c r="D23" s="585"/>
      <c r="E23" s="585"/>
      <c r="F23" s="585"/>
      <c r="G23" s="585"/>
      <c r="H23" s="585"/>
      <c r="I23" s="585"/>
      <c r="J23" s="438"/>
      <c r="K23" s="438"/>
      <c r="L23" s="438"/>
      <c r="M23" s="438"/>
      <c r="N23" s="438"/>
      <c r="O23" s="438"/>
      <c r="P23" s="438"/>
      <c r="Q23" s="438"/>
      <c r="R23" s="438"/>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36"/>
    </row>
    <row r="24" spans="1:48" ht="12.95" customHeight="1" x14ac:dyDescent="0.15">
      <c r="A24" s="36"/>
      <c r="B24" s="586" t="s">
        <v>83</v>
      </c>
      <c r="C24" s="587"/>
      <c r="D24" s="587"/>
      <c r="E24" s="587"/>
      <c r="F24" s="587"/>
      <c r="G24" s="588"/>
      <c r="H24" s="588"/>
      <c r="I24" s="588"/>
      <c r="J24" s="514"/>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6"/>
      <c r="AT24" s="36"/>
      <c r="AV24" s="43" t="str">
        <f>IF(J24&lt;&gt;"","OK",IF(AU29=TRUE,"OK", "URLまたは☑いずれか必須"))</f>
        <v>URLまたは☑いずれか必須</v>
      </c>
    </row>
    <row r="25" spans="1:48" ht="12.75" thickBot="1" x14ac:dyDescent="0.2">
      <c r="A25" s="36"/>
      <c r="B25" s="589"/>
      <c r="C25" s="590"/>
      <c r="D25" s="590"/>
      <c r="E25" s="590"/>
      <c r="F25" s="590"/>
      <c r="G25" s="591"/>
      <c r="H25" s="591"/>
      <c r="I25" s="591"/>
      <c r="J25" s="517"/>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9"/>
      <c r="AT25" s="36"/>
    </row>
    <row r="26" spans="1:48" s="41" customFormat="1" x14ac:dyDescent="0.15">
      <c r="A26" s="111"/>
      <c r="B26" s="111"/>
      <c r="C26" s="111"/>
      <c r="D26" s="111"/>
      <c r="E26" s="111"/>
      <c r="F26" s="111"/>
      <c r="G26" s="111"/>
      <c r="H26" s="111"/>
      <c r="I26" s="111"/>
      <c r="J26" s="117" t="s">
        <v>84</v>
      </c>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U26" s="118"/>
    </row>
    <row r="27" spans="1:48" ht="17.25" customHeight="1" thickBot="1" x14ac:dyDescent="0.2">
      <c r="A27" s="36"/>
      <c r="C27" s="110"/>
      <c r="D27" s="110"/>
      <c r="E27" s="110"/>
      <c r="F27" s="110"/>
      <c r="G27" s="110"/>
      <c r="H27" s="110"/>
      <c r="I27" s="110"/>
      <c r="J27" s="40" t="s">
        <v>85</v>
      </c>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36"/>
    </row>
    <row r="28" spans="1:48" ht="12.95" customHeight="1" x14ac:dyDescent="0.15">
      <c r="A28" s="36"/>
      <c r="B28" s="112"/>
      <c r="C28" s="110"/>
      <c r="D28" s="110"/>
      <c r="E28" s="110"/>
      <c r="F28" s="110"/>
      <c r="G28" s="110"/>
      <c r="H28" s="110"/>
      <c r="I28" s="113"/>
      <c r="J28" s="106"/>
      <c r="K28" s="107"/>
      <c r="L28" s="594" t="s">
        <v>86</v>
      </c>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6"/>
      <c r="AT28" s="36"/>
      <c r="AV28" s="43" t="str">
        <f>IF(J24="","",IF(AU29=FALSE,"", "URLがある場合は☑は不要です"))</f>
        <v/>
      </c>
    </row>
    <row r="29" spans="1:48" ht="12.75" thickBot="1" x14ac:dyDescent="0.2">
      <c r="A29" s="36"/>
      <c r="B29" s="110"/>
      <c r="C29" s="110"/>
      <c r="D29" s="110"/>
      <c r="E29" s="110"/>
      <c r="F29" s="110"/>
      <c r="G29" s="110"/>
      <c r="H29" s="110"/>
      <c r="I29" s="113"/>
      <c r="J29" s="108"/>
      <c r="K29" s="109"/>
      <c r="L29" s="597"/>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9"/>
      <c r="AT29" s="36"/>
      <c r="AU29" s="45" t="b">
        <v>0</v>
      </c>
    </row>
    <row r="30" spans="1:48" x14ac:dyDescent="0.15">
      <c r="A30" s="36"/>
      <c r="B30" s="393" t="s">
        <v>69</v>
      </c>
      <c r="C30" s="393"/>
      <c r="D30" s="393"/>
      <c r="E30" s="393"/>
      <c r="F30" s="393"/>
      <c r="G30" s="393"/>
      <c r="H30" s="393"/>
      <c r="I30" s="393"/>
      <c r="J30" s="393"/>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row>
    <row r="31" spans="1:48" x14ac:dyDescent="0.15">
      <c r="A31" s="36"/>
      <c r="B31" s="393"/>
      <c r="C31" s="393"/>
      <c r="D31" s="393"/>
      <c r="E31" s="393"/>
      <c r="F31" s="393"/>
      <c r="G31" s="393"/>
      <c r="H31" s="393"/>
      <c r="I31" s="393"/>
      <c r="J31" s="393"/>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row>
    <row r="32" spans="1:48" x14ac:dyDescent="0.15">
      <c r="A32" s="36"/>
      <c r="B32" s="358" t="s">
        <v>70</v>
      </c>
      <c r="C32" s="358"/>
      <c r="D32" s="358"/>
      <c r="E32" s="358"/>
      <c r="F32" s="358"/>
      <c r="G32" s="592"/>
      <c r="H32" s="592"/>
      <c r="I32" s="592"/>
      <c r="J32" s="592"/>
      <c r="K32" s="592"/>
      <c r="L32" s="592"/>
      <c r="M32" s="592"/>
      <c r="N32" s="592"/>
      <c r="O32" s="592"/>
      <c r="P32" s="592"/>
      <c r="Q32" s="592"/>
      <c r="R32" s="592"/>
      <c r="S32" s="592"/>
      <c r="T32" s="592"/>
      <c r="U32" s="592"/>
      <c r="V32" s="592"/>
      <c r="W32" s="592"/>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6"/>
    </row>
    <row r="33" spans="1:58" ht="12.75" thickBot="1" x14ac:dyDescent="0.2">
      <c r="A33" s="36"/>
      <c r="B33" s="359"/>
      <c r="C33" s="359"/>
      <c r="D33" s="359"/>
      <c r="E33" s="359"/>
      <c r="F33" s="359"/>
      <c r="G33" s="593"/>
      <c r="H33" s="593"/>
      <c r="I33" s="593"/>
      <c r="J33" s="593"/>
      <c r="K33" s="593"/>
      <c r="L33" s="593"/>
      <c r="M33" s="593"/>
      <c r="N33" s="593"/>
      <c r="O33" s="593"/>
      <c r="P33" s="593"/>
      <c r="Q33" s="593"/>
      <c r="R33" s="593"/>
      <c r="S33" s="593"/>
      <c r="T33" s="593"/>
      <c r="U33" s="593"/>
      <c r="V33" s="593"/>
      <c r="W33" s="593"/>
      <c r="X33" s="359"/>
      <c r="Y33" s="359"/>
      <c r="Z33" s="359"/>
      <c r="AA33" s="359"/>
      <c r="AB33" s="359"/>
      <c r="AC33" s="359"/>
      <c r="AD33" s="359"/>
      <c r="AE33" s="359"/>
      <c r="AF33" s="359"/>
      <c r="AG33" s="359"/>
      <c r="AH33" s="359"/>
      <c r="AI33" s="359"/>
      <c r="AJ33" s="359"/>
      <c r="AK33" s="359"/>
      <c r="AL33" s="359"/>
      <c r="AM33" s="359"/>
      <c r="AN33" s="359"/>
      <c r="AO33" s="359"/>
      <c r="AP33" s="359"/>
      <c r="AQ33" s="359"/>
      <c r="AR33" s="358"/>
      <c r="AS33" s="358"/>
      <c r="AT33" s="36"/>
    </row>
    <row r="34" spans="1:58" ht="12" customHeight="1" x14ac:dyDescent="0.15">
      <c r="A34" s="36"/>
      <c r="B34" s="360" t="s">
        <v>384</v>
      </c>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7"/>
      <c r="AS34" s="368"/>
      <c r="AT34" s="36"/>
      <c r="AV34" s="43"/>
    </row>
    <row r="35" spans="1:58" ht="12" customHeight="1" x14ac:dyDescent="0.15">
      <c r="A35" s="36"/>
      <c r="B35" s="363"/>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69"/>
      <c r="AS35" s="370"/>
      <c r="AT35" s="36"/>
      <c r="AU35" s="45" t="b">
        <v>0</v>
      </c>
      <c r="AV35" s="43" t="str">
        <f>IF(AU35,"OK","必須")</f>
        <v>必須</v>
      </c>
    </row>
    <row r="36" spans="1:58" ht="12" customHeight="1" x14ac:dyDescent="0.15">
      <c r="A36" s="36"/>
      <c r="B36" s="363"/>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69"/>
      <c r="AS36" s="370"/>
      <c r="AT36" s="36"/>
      <c r="AV36" s="43"/>
    </row>
    <row r="37" spans="1:58" ht="12" customHeight="1" x14ac:dyDescent="0.15">
      <c r="A37" s="36"/>
      <c r="B37" s="363"/>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69"/>
      <c r="AS37" s="370"/>
      <c r="AT37" s="36"/>
      <c r="AV37" s="43"/>
    </row>
    <row r="38" spans="1:58" ht="12" customHeight="1" thickBot="1" x14ac:dyDescent="0.2">
      <c r="A38" s="36"/>
      <c r="B38" s="365"/>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71"/>
      <c r="AS38" s="372"/>
      <c r="AT38" s="36"/>
      <c r="AV38" s="43"/>
    </row>
    <row r="39" spans="1:58"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W39" s="36"/>
      <c r="AX39" s="36"/>
      <c r="AY39" s="36"/>
      <c r="AZ39" s="36"/>
      <c r="BA39" s="36"/>
      <c r="BB39" s="36"/>
      <c r="BC39" s="36"/>
      <c r="BD39" s="36"/>
      <c r="BE39" s="36"/>
      <c r="BF39" s="36"/>
    </row>
    <row r="40" spans="1:58"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W40" s="36"/>
      <c r="AX40" s="36"/>
      <c r="AY40" s="36"/>
      <c r="AZ40" s="36"/>
      <c r="BA40" s="36"/>
      <c r="BB40" s="36"/>
      <c r="BC40" s="36"/>
      <c r="BD40" s="36"/>
      <c r="BE40" s="36"/>
      <c r="BF40" s="36"/>
    </row>
    <row r="41" spans="1:58"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46"/>
      <c r="AV41" s="44"/>
      <c r="AW41" s="36"/>
      <c r="AX41" s="36"/>
      <c r="AY41" s="36"/>
      <c r="AZ41" s="36"/>
      <c r="BA41" s="36"/>
      <c r="BB41" s="36"/>
      <c r="BC41" s="36"/>
      <c r="BD41" s="36"/>
      <c r="BE41" s="36"/>
      <c r="BF41" s="36"/>
    </row>
    <row r="42" spans="1:58"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46"/>
      <c r="AV42" s="44"/>
      <c r="AW42" s="36"/>
      <c r="AX42" s="36"/>
      <c r="AY42" s="36"/>
      <c r="AZ42" s="36"/>
      <c r="BA42" s="36"/>
      <c r="BB42" s="36"/>
      <c r="BC42" s="36"/>
      <c r="BD42" s="36"/>
      <c r="BE42" s="36"/>
      <c r="BF42" s="36"/>
    </row>
    <row r="43" spans="1:58"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46"/>
      <c r="AV43" s="44"/>
      <c r="AW43" s="36"/>
      <c r="AX43" s="36"/>
      <c r="AY43" s="36"/>
      <c r="AZ43" s="36"/>
      <c r="BA43" s="36"/>
      <c r="BB43" s="36"/>
      <c r="BC43" s="36"/>
      <c r="BD43" s="36"/>
      <c r="BE43" s="36"/>
      <c r="BF43" s="36"/>
    </row>
    <row r="44" spans="1:58"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46"/>
      <c r="AV44" s="44"/>
      <c r="AW44" s="36"/>
      <c r="AX44" s="36"/>
      <c r="AY44" s="36"/>
      <c r="AZ44" s="36"/>
      <c r="BA44" s="36"/>
      <c r="BB44" s="36"/>
      <c r="BC44" s="36"/>
      <c r="BD44" s="36"/>
      <c r="BE44" s="36"/>
      <c r="BF44" s="36"/>
    </row>
    <row r="45" spans="1:58"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46"/>
      <c r="AV45" s="44"/>
      <c r="AW45" s="36"/>
      <c r="AX45" s="36"/>
      <c r="AY45" s="36"/>
      <c r="AZ45" s="36"/>
      <c r="BA45" s="36"/>
      <c r="BB45" s="36"/>
      <c r="BC45" s="36"/>
      <c r="BD45" s="36"/>
      <c r="BE45" s="36"/>
      <c r="BF45" s="36"/>
    </row>
    <row r="46" spans="1:58" x14ac:dyDescent="0.1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46"/>
      <c r="AV46" s="44"/>
      <c r="AW46" s="36"/>
      <c r="AX46" s="36"/>
      <c r="AY46" s="36"/>
      <c r="AZ46" s="36"/>
      <c r="BA46" s="36"/>
      <c r="BB46" s="36"/>
      <c r="BC46" s="36"/>
      <c r="BD46" s="36"/>
      <c r="BE46" s="36"/>
      <c r="BF46" s="36"/>
    </row>
    <row r="47" spans="1:58"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46"/>
      <c r="AV47" s="44"/>
      <c r="AW47" s="36"/>
      <c r="AX47" s="36"/>
      <c r="AY47" s="36"/>
      <c r="AZ47" s="36"/>
      <c r="BA47" s="36"/>
      <c r="BB47" s="36"/>
      <c r="BC47" s="36"/>
      <c r="BD47" s="36"/>
      <c r="BE47" s="36"/>
      <c r="BF47" s="36"/>
    </row>
    <row r="48" spans="1:58"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46"/>
      <c r="AV48" s="44"/>
      <c r="AW48" s="36"/>
      <c r="AX48" s="36"/>
      <c r="AY48" s="36"/>
      <c r="AZ48" s="36"/>
      <c r="BA48" s="36"/>
      <c r="BB48" s="36"/>
      <c r="BC48" s="36"/>
      <c r="BD48" s="36"/>
      <c r="BE48" s="36"/>
      <c r="BF48" s="36"/>
    </row>
    <row r="49" spans="1:58"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46"/>
      <c r="AV49" s="44"/>
      <c r="AW49" s="36"/>
      <c r="AX49" s="36"/>
      <c r="AY49" s="36"/>
      <c r="AZ49" s="36"/>
      <c r="BA49" s="36"/>
      <c r="BB49" s="36"/>
      <c r="BC49" s="36"/>
      <c r="BD49" s="36"/>
      <c r="BE49" s="36"/>
      <c r="BF49" s="36"/>
    </row>
    <row r="50" spans="1:58"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46"/>
      <c r="AV50" s="44"/>
      <c r="AW50" s="36"/>
      <c r="AX50" s="36"/>
      <c r="AY50" s="36"/>
      <c r="AZ50" s="36"/>
      <c r="BA50" s="36"/>
      <c r="BB50" s="36"/>
      <c r="BC50" s="36"/>
      <c r="BD50" s="36"/>
      <c r="BE50" s="36"/>
      <c r="BF50" s="36"/>
    </row>
    <row r="51" spans="1:58"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46"/>
      <c r="AV51" s="44"/>
      <c r="AW51" s="36"/>
      <c r="AX51" s="36"/>
      <c r="AY51" s="36"/>
      <c r="AZ51" s="36"/>
      <c r="BA51" s="36"/>
      <c r="BB51" s="36"/>
      <c r="BC51" s="36"/>
      <c r="BD51" s="36"/>
      <c r="BE51" s="36"/>
      <c r="BF51" s="36"/>
    </row>
    <row r="52" spans="1:58"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46"/>
      <c r="AV52" s="44"/>
      <c r="AW52" s="36"/>
      <c r="AX52" s="36"/>
      <c r="AY52" s="36"/>
      <c r="AZ52" s="36"/>
      <c r="BA52" s="36"/>
      <c r="BB52" s="36"/>
      <c r="BC52" s="36"/>
      <c r="BD52" s="36"/>
      <c r="BE52" s="36"/>
      <c r="BF52" s="36"/>
    </row>
    <row r="53" spans="1:58"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46"/>
      <c r="AV53" s="44"/>
      <c r="AW53" s="36"/>
      <c r="AX53" s="36"/>
      <c r="AY53" s="36"/>
      <c r="AZ53" s="36"/>
      <c r="BA53" s="36"/>
      <c r="BB53" s="36"/>
      <c r="BC53" s="36"/>
      <c r="BD53" s="36"/>
      <c r="BE53" s="36"/>
      <c r="BF53" s="36"/>
    </row>
    <row r="54" spans="1:58"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46"/>
      <c r="AV54" s="44"/>
      <c r="AW54" s="36"/>
      <c r="AX54" s="36"/>
      <c r="AY54" s="36"/>
      <c r="AZ54" s="36"/>
      <c r="BA54" s="36"/>
      <c r="BB54" s="36"/>
      <c r="BC54" s="36"/>
      <c r="BD54" s="36"/>
      <c r="BE54" s="36"/>
      <c r="BF54" s="36"/>
    </row>
    <row r="55" spans="1:58"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46"/>
      <c r="AV55" s="44"/>
      <c r="AW55" s="36"/>
      <c r="AX55" s="36"/>
      <c r="AY55" s="36"/>
      <c r="AZ55" s="36"/>
      <c r="BA55" s="36"/>
      <c r="BB55" s="36"/>
      <c r="BC55" s="36"/>
      <c r="BD55" s="36"/>
      <c r="BE55" s="36"/>
      <c r="BF55" s="36"/>
    </row>
    <row r="56" spans="1:58"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46"/>
      <c r="AV56" s="44"/>
      <c r="AW56" s="36"/>
      <c r="AX56" s="36"/>
      <c r="AY56" s="36"/>
      <c r="AZ56" s="36"/>
      <c r="BA56" s="36"/>
      <c r="BB56" s="36"/>
      <c r="BC56" s="36"/>
      <c r="BD56" s="36"/>
      <c r="BE56" s="36"/>
      <c r="BF56" s="36"/>
    </row>
    <row r="57" spans="1:58"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46"/>
      <c r="AV57" s="44"/>
      <c r="AW57" s="36"/>
      <c r="AX57" s="36"/>
      <c r="AY57" s="36"/>
      <c r="AZ57" s="36"/>
      <c r="BA57" s="36"/>
      <c r="BB57" s="36"/>
      <c r="BC57" s="36"/>
      <c r="BD57" s="36"/>
      <c r="BE57" s="36"/>
      <c r="BF57" s="36"/>
    </row>
    <row r="58" spans="1:58"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46"/>
      <c r="AV58" s="44"/>
      <c r="AW58" s="36"/>
      <c r="AX58" s="36"/>
      <c r="AY58" s="36"/>
      <c r="AZ58" s="36"/>
      <c r="BA58" s="36"/>
      <c r="BB58" s="36"/>
      <c r="BC58" s="36"/>
      <c r="BD58" s="36"/>
      <c r="BE58" s="36"/>
      <c r="BF58" s="36"/>
    </row>
    <row r="59" spans="1:58"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46"/>
      <c r="AV59" s="44"/>
      <c r="AW59" s="36"/>
      <c r="AX59" s="36"/>
      <c r="AY59" s="36"/>
      <c r="AZ59" s="36"/>
      <c r="BA59" s="36"/>
      <c r="BB59" s="36"/>
      <c r="BC59" s="36"/>
      <c r="BD59" s="36"/>
      <c r="BE59" s="36"/>
      <c r="BF59" s="36"/>
    </row>
    <row r="60" spans="1:58"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46"/>
      <c r="AV60" s="44"/>
      <c r="AW60" s="36"/>
      <c r="AX60" s="36"/>
      <c r="AY60" s="36"/>
      <c r="AZ60" s="36"/>
      <c r="BA60" s="36"/>
      <c r="BB60" s="36"/>
      <c r="BC60" s="36"/>
      <c r="BD60" s="36"/>
      <c r="BE60" s="36"/>
      <c r="BF60" s="36"/>
    </row>
    <row r="61" spans="1:58"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46"/>
      <c r="AV61" s="44"/>
      <c r="AW61" s="36"/>
      <c r="AX61" s="36"/>
      <c r="AY61" s="36"/>
      <c r="AZ61" s="36"/>
      <c r="BA61" s="36"/>
      <c r="BB61" s="36"/>
      <c r="BC61" s="36"/>
      <c r="BD61" s="36"/>
      <c r="BE61" s="36"/>
      <c r="BF61" s="36"/>
    </row>
    <row r="62" spans="1:58"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46"/>
      <c r="AV62" s="44"/>
      <c r="AW62" s="36"/>
      <c r="AX62" s="36"/>
      <c r="AY62" s="36"/>
      <c r="AZ62" s="36"/>
      <c r="BA62" s="36"/>
      <c r="BB62" s="36"/>
      <c r="BC62" s="36"/>
      <c r="BD62" s="36"/>
      <c r="BE62" s="36"/>
      <c r="BF62" s="36"/>
    </row>
    <row r="63" spans="1:58"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46"/>
      <c r="AV63" s="44"/>
      <c r="AW63" s="36"/>
      <c r="AX63" s="36"/>
      <c r="AY63" s="36"/>
      <c r="AZ63" s="36"/>
      <c r="BA63" s="36"/>
      <c r="BB63" s="36"/>
      <c r="BC63" s="36"/>
      <c r="BD63" s="36"/>
      <c r="BE63" s="36"/>
      <c r="BF63" s="36"/>
    </row>
    <row r="64" spans="1:58"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46"/>
      <c r="AV64" s="44"/>
      <c r="AW64" s="36"/>
      <c r="AX64" s="36"/>
      <c r="AY64" s="36"/>
      <c r="AZ64" s="36"/>
      <c r="BA64" s="36"/>
      <c r="BB64" s="36"/>
      <c r="BC64" s="36"/>
      <c r="BD64" s="36"/>
      <c r="BE64" s="36"/>
      <c r="BF64" s="36"/>
    </row>
    <row r="65" spans="1:58"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46"/>
      <c r="AV65" s="44"/>
      <c r="AW65" s="36"/>
      <c r="AX65" s="36"/>
      <c r="AY65" s="36"/>
      <c r="AZ65" s="36"/>
      <c r="BA65" s="36"/>
      <c r="BB65" s="36"/>
      <c r="BC65" s="36"/>
      <c r="BD65" s="36"/>
      <c r="BE65" s="36"/>
      <c r="BF65" s="36"/>
    </row>
    <row r="66" spans="1:58"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46"/>
      <c r="AV66" s="44"/>
      <c r="AW66" s="36"/>
      <c r="AX66" s="36"/>
      <c r="AY66" s="36"/>
      <c r="AZ66" s="36"/>
      <c r="BA66" s="36"/>
      <c r="BB66" s="36"/>
      <c r="BC66" s="36"/>
      <c r="BD66" s="36"/>
      <c r="BE66" s="36"/>
      <c r="BF66" s="36"/>
    </row>
    <row r="67" spans="1:58"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46"/>
      <c r="AV67" s="44"/>
      <c r="AW67" s="36"/>
      <c r="AX67" s="36"/>
      <c r="AY67" s="36"/>
      <c r="AZ67" s="36"/>
      <c r="BA67" s="36"/>
      <c r="BB67" s="36"/>
      <c r="BC67" s="36"/>
      <c r="BD67" s="36"/>
      <c r="BE67" s="36"/>
      <c r="BF67" s="36"/>
    </row>
    <row r="68" spans="1:58"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46"/>
      <c r="AV68" s="44"/>
      <c r="AW68" s="36"/>
      <c r="AX68" s="36"/>
      <c r="AY68" s="36"/>
      <c r="AZ68" s="36"/>
      <c r="BA68" s="36"/>
      <c r="BB68" s="36"/>
      <c r="BC68" s="36"/>
      <c r="BD68" s="36"/>
      <c r="BE68" s="36"/>
      <c r="BF68" s="36"/>
    </row>
    <row r="69" spans="1:58"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46"/>
      <c r="AV69" s="44"/>
      <c r="AW69" s="36"/>
      <c r="AX69" s="36"/>
      <c r="AY69" s="36"/>
      <c r="AZ69" s="36"/>
      <c r="BA69" s="36"/>
      <c r="BB69" s="36"/>
      <c r="BC69" s="36"/>
      <c r="BD69" s="36"/>
      <c r="BE69" s="36"/>
      <c r="BF69" s="36"/>
    </row>
    <row r="70" spans="1:58"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46"/>
      <c r="AV70" s="44"/>
      <c r="AW70" s="36"/>
      <c r="AX70" s="36"/>
      <c r="AY70" s="36"/>
      <c r="AZ70" s="36"/>
      <c r="BA70" s="36"/>
      <c r="BB70" s="36"/>
      <c r="BC70" s="36"/>
      <c r="BD70" s="36"/>
      <c r="BE70" s="36"/>
      <c r="BF70" s="36"/>
    </row>
    <row r="71" spans="1:58"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46"/>
      <c r="AV71" s="44"/>
      <c r="AW71" s="36"/>
      <c r="AX71" s="36"/>
      <c r="AY71" s="36"/>
      <c r="AZ71" s="36"/>
      <c r="BA71" s="36"/>
      <c r="BB71" s="36"/>
      <c r="BC71" s="36"/>
      <c r="BD71" s="36"/>
      <c r="BE71" s="36"/>
      <c r="BF71" s="36"/>
    </row>
    <row r="72" spans="1:58"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46"/>
      <c r="AV72" s="44"/>
      <c r="AW72" s="36"/>
      <c r="AX72" s="36"/>
      <c r="AY72" s="36"/>
      <c r="AZ72" s="36"/>
      <c r="BA72" s="36"/>
      <c r="BB72" s="36"/>
      <c r="BC72" s="36"/>
      <c r="BD72" s="36"/>
      <c r="BE72" s="36"/>
      <c r="BF72" s="36"/>
    </row>
    <row r="73" spans="1:58"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46"/>
      <c r="AV73" s="44"/>
      <c r="AW73" s="36"/>
      <c r="AX73" s="36"/>
      <c r="AY73" s="36"/>
      <c r="AZ73" s="36"/>
      <c r="BA73" s="36"/>
      <c r="BB73" s="36"/>
      <c r="BC73" s="36"/>
      <c r="BD73" s="36"/>
      <c r="BE73" s="36"/>
      <c r="BF73" s="36"/>
    </row>
  </sheetData>
  <sheetProtection algorithmName="SHA-512" hashValue="2hck5PVc0VmXxk4Hjh2VMQ/FJ10hkRgjZpp8TLLXxs9fvvSxErZZRg0stnBCVIPfGmnVraUsQJjgt/Wc79mApg==" saltValue="rHIlTbnWGZK9RorSB0BN4w=="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133350</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32" customWidth="1"/>
    <col min="50" max="16384" width="8.875" style="32"/>
  </cols>
  <sheetData>
    <row r="1" spans="1:49" ht="12" customHeight="1" x14ac:dyDescent="0.15">
      <c r="A1" s="653" t="s">
        <v>87</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5"/>
    </row>
    <row r="2" spans="1:49" ht="12" customHeight="1" x14ac:dyDescent="0.15">
      <c r="A2" s="656"/>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8"/>
    </row>
    <row r="3" spans="1:49" x14ac:dyDescent="0.15">
      <c r="A3" s="361" t="str">
        <f>"【"&amp;製品カテゴリ&amp;"】"</f>
        <v>【測量機（自動視準・自動追尾機能付き高機能トータルステーション）】</v>
      </c>
      <c r="B3" s="361"/>
      <c r="C3" s="361"/>
      <c r="D3" s="361"/>
      <c r="E3" s="361"/>
      <c r="F3" s="361"/>
      <c r="G3" s="361"/>
      <c r="H3" s="361"/>
      <c r="I3" s="361"/>
      <c r="J3" s="361"/>
      <c r="K3" s="361"/>
      <c r="L3" s="361"/>
      <c r="M3" s="361"/>
      <c r="N3" s="361"/>
      <c r="O3" s="361"/>
      <c r="P3" s="361"/>
      <c r="Q3" s="361"/>
      <c r="R3" s="361"/>
      <c r="S3" s="361"/>
      <c r="T3" s="361"/>
      <c r="U3" s="361"/>
      <c r="V3" s="361"/>
      <c r="W3" s="361"/>
      <c r="X3" s="361"/>
      <c r="Y3" s="36"/>
      <c r="Z3" s="36"/>
      <c r="AA3" s="36"/>
      <c r="AB3" s="36"/>
      <c r="AC3" s="36"/>
      <c r="AD3" s="36"/>
      <c r="AE3" s="36"/>
      <c r="AF3" s="36"/>
      <c r="AG3" s="36"/>
      <c r="AH3" s="36"/>
      <c r="AI3" s="36"/>
      <c r="AJ3" s="36"/>
      <c r="AK3" s="36"/>
      <c r="AL3" s="36"/>
      <c r="AM3" s="36"/>
      <c r="AN3" s="36"/>
      <c r="AO3" s="36"/>
      <c r="AP3" s="36"/>
      <c r="AQ3" s="36"/>
      <c r="AR3" s="36"/>
      <c r="AS3" s="385" t="s">
        <v>32</v>
      </c>
      <c r="AT3" s="385"/>
      <c r="AU3" s="385"/>
      <c r="AV3" s="385"/>
      <c r="AW3" s="385"/>
    </row>
    <row r="4" spans="1:49" x14ac:dyDescent="0.15">
      <c r="A4" s="358"/>
      <c r="B4" s="358"/>
      <c r="C4" s="358"/>
      <c r="D4" s="358"/>
      <c r="E4" s="358"/>
      <c r="F4" s="358"/>
      <c r="G4" s="358"/>
      <c r="H4" s="358"/>
      <c r="I4" s="358"/>
      <c r="J4" s="358"/>
      <c r="K4" s="358"/>
      <c r="L4" s="358"/>
      <c r="M4" s="358"/>
      <c r="N4" s="358"/>
      <c r="O4" s="358"/>
      <c r="P4" s="358"/>
      <c r="Q4" s="358"/>
      <c r="R4" s="358"/>
      <c r="S4" s="358"/>
      <c r="T4" s="358"/>
      <c r="U4" s="358"/>
      <c r="V4" s="358"/>
      <c r="W4" s="358"/>
      <c r="X4" s="358"/>
      <c r="Y4" s="36"/>
      <c r="Z4" s="36"/>
      <c r="AA4" s="36"/>
      <c r="AB4" s="36"/>
      <c r="AC4" s="36"/>
      <c r="AD4" s="36"/>
      <c r="AE4" s="36"/>
      <c r="AF4" s="36"/>
      <c r="AG4" s="36"/>
      <c r="AH4" s="36"/>
      <c r="AI4" s="36"/>
      <c r="AJ4" s="36"/>
      <c r="AK4" s="36"/>
      <c r="AL4" s="36"/>
      <c r="AM4" s="36"/>
      <c r="AN4" s="36"/>
      <c r="AO4" s="36"/>
      <c r="AP4" s="36"/>
      <c r="AQ4" s="36"/>
      <c r="AR4" s="36"/>
      <c r="AS4" s="386"/>
      <c r="AT4" s="386"/>
      <c r="AU4" s="386"/>
      <c r="AV4" s="386"/>
      <c r="AW4" s="386"/>
    </row>
    <row r="5" spans="1:49" x14ac:dyDescent="0.15">
      <c r="A5" s="36"/>
      <c r="B5" s="358" t="s">
        <v>88</v>
      </c>
      <c r="C5" s="358"/>
      <c r="D5" s="358"/>
      <c r="E5" s="358"/>
      <c r="F5" s="358"/>
      <c r="G5" s="358"/>
      <c r="H5" s="358"/>
      <c r="I5" s="358"/>
      <c r="J5" s="358"/>
      <c r="K5" s="358"/>
      <c r="L5" s="358"/>
      <c r="M5" s="358"/>
      <c r="N5" s="358"/>
      <c r="O5" s="358"/>
      <c r="P5" s="358"/>
      <c r="Q5" s="358"/>
      <c r="R5" s="358"/>
      <c r="S5" s="358"/>
      <c r="T5" s="358"/>
      <c r="U5" s="358"/>
      <c r="V5" s="358"/>
      <c r="W5" s="358"/>
      <c r="X5" s="358"/>
      <c r="Y5" s="36"/>
      <c r="Z5" s="36"/>
      <c r="AA5" s="36"/>
      <c r="AB5" s="36"/>
      <c r="AC5" s="36"/>
      <c r="AD5" s="36"/>
      <c r="AE5" s="36"/>
      <c r="AF5" s="36"/>
      <c r="AG5" s="36"/>
      <c r="AH5" s="36"/>
      <c r="AI5" s="36"/>
      <c r="AJ5" s="36"/>
      <c r="AK5" s="36"/>
      <c r="AL5" s="36"/>
      <c r="AM5" s="36"/>
      <c r="AN5" s="36"/>
      <c r="AO5" s="36"/>
      <c r="AP5" s="36"/>
      <c r="AQ5" s="36"/>
      <c r="AR5" s="36"/>
      <c r="AS5" s="36"/>
      <c r="AT5" s="36"/>
      <c r="AU5" s="36"/>
      <c r="AV5" s="36"/>
      <c r="AW5" s="36"/>
    </row>
    <row r="6" spans="1:49" x14ac:dyDescent="0.15">
      <c r="A6" s="36"/>
      <c r="B6" s="358"/>
      <c r="C6" s="358"/>
      <c r="D6" s="358"/>
      <c r="E6" s="358"/>
      <c r="F6" s="358"/>
      <c r="G6" s="358"/>
      <c r="H6" s="358"/>
      <c r="I6" s="358"/>
      <c r="J6" s="358"/>
      <c r="K6" s="358"/>
      <c r="L6" s="358"/>
      <c r="M6" s="358"/>
      <c r="N6" s="358"/>
      <c r="O6" s="358"/>
      <c r="P6" s="358"/>
      <c r="Q6" s="358"/>
      <c r="R6" s="358"/>
      <c r="S6" s="358"/>
      <c r="T6" s="358"/>
      <c r="U6" s="358"/>
      <c r="V6" s="358"/>
      <c r="W6" s="358"/>
      <c r="X6" s="358"/>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x14ac:dyDescent="0.15">
      <c r="A7" s="36"/>
      <c r="B7" s="438" t="s">
        <v>226</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36"/>
    </row>
    <row r="8" spans="1:49" x14ac:dyDescent="0.15">
      <c r="A8" s="36"/>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36"/>
    </row>
    <row r="9" spans="1:49" x14ac:dyDescent="0.15">
      <c r="A9" s="36"/>
      <c r="B9" s="659" t="s">
        <v>73</v>
      </c>
      <c r="C9" s="659"/>
      <c r="D9" s="422" t="s">
        <v>89</v>
      </c>
      <c r="E9" s="423"/>
      <c r="F9" s="455"/>
      <c r="G9" s="659" t="s">
        <v>90</v>
      </c>
      <c r="H9" s="659"/>
      <c r="I9" s="659"/>
      <c r="J9" s="659"/>
      <c r="K9" s="659"/>
      <c r="L9" s="659"/>
      <c r="M9" s="659"/>
      <c r="N9" s="659"/>
      <c r="O9" s="659"/>
      <c r="P9" s="659"/>
      <c r="Q9" s="659"/>
      <c r="R9" s="659"/>
      <c r="S9" s="659"/>
      <c r="T9" s="659"/>
      <c r="U9" s="659"/>
      <c r="V9" s="659"/>
      <c r="W9" s="659"/>
      <c r="X9" s="659"/>
      <c r="Y9" s="659" t="s">
        <v>91</v>
      </c>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36"/>
    </row>
    <row r="10" spans="1:49" x14ac:dyDescent="0.15">
      <c r="A10" s="36"/>
      <c r="B10" s="659"/>
      <c r="C10" s="659"/>
      <c r="D10" s="426"/>
      <c r="E10" s="427"/>
      <c r="F10" s="456"/>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36"/>
    </row>
    <row r="11" spans="1:49" x14ac:dyDescent="0.15">
      <c r="A11" s="36"/>
      <c r="B11" s="638" t="s">
        <v>92</v>
      </c>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40"/>
      <c r="AW11" s="36"/>
    </row>
    <row r="12" spans="1:49" x14ac:dyDescent="0.15">
      <c r="A12" s="36"/>
      <c r="B12" s="641"/>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3"/>
      <c r="AW12" s="36"/>
    </row>
    <row r="13" spans="1:49" ht="12" customHeight="1" x14ac:dyDescent="0.15">
      <c r="A13" s="36"/>
      <c r="B13" s="625">
        <v>1</v>
      </c>
      <c r="C13" s="626"/>
      <c r="D13" s="37"/>
      <c r="E13" s="37"/>
      <c r="F13" s="37"/>
      <c r="G13" s="617" t="s">
        <v>368</v>
      </c>
      <c r="H13" s="618"/>
      <c r="I13" s="618"/>
      <c r="J13" s="618"/>
      <c r="K13" s="618"/>
      <c r="L13" s="618"/>
      <c r="M13" s="618"/>
      <c r="N13" s="618"/>
      <c r="O13" s="618"/>
      <c r="P13" s="618"/>
      <c r="Q13" s="618"/>
      <c r="R13" s="618"/>
      <c r="S13" s="618"/>
      <c r="T13" s="618"/>
      <c r="U13" s="618"/>
      <c r="V13" s="618"/>
      <c r="W13" s="618"/>
      <c r="X13" s="619"/>
      <c r="Y13" s="617" t="s">
        <v>369</v>
      </c>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618"/>
      <c r="AV13" s="619"/>
      <c r="AW13" s="36"/>
    </row>
    <row r="14" spans="1:49" x14ac:dyDescent="0.15">
      <c r="A14" s="36"/>
      <c r="B14" s="625"/>
      <c r="C14" s="626"/>
      <c r="D14" s="37"/>
      <c r="E14" s="37"/>
      <c r="F14" s="37"/>
      <c r="G14" s="617"/>
      <c r="H14" s="618"/>
      <c r="I14" s="618"/>
      <c r="J14" s="618"/>
      <c r="K14" s="618"/>
      <c r="L14" s="618"/>
      <c r="M14" s="618"/>
      <c r="N14" s="618"/>
      <c r="O14" s="618"/>
      <c r="P14" s="618"/>
      <c r="Q14" s="618"/>
      <c r="R14" s="618"/>
      <c r="S14" s="618"/>
      <c r="T14" s="618"/>
      <c r="U14" s="618"/>
      <c r="V14" s="618"/>
      <c r="W14" s="618"/>
      <c r="X14" s="619"/>
      <c r="Y14" s="617"/>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9"/>
      <c r="AW14" s="36"/>
    </row>
    <row r="15" spans="1:49" x14ac:dyDescent="0.15">
      <c r="A15" s="36"/>
      <c r="B15" s="625"/>
      <c r="C15" s="626"/>
      <c r="D15" s="37"/>
      <c r="E15" s="37"/>
      <c r="F15" s="37"/>
      <c r="G15" s="617"/>
      <c r="H15" s="618"/>
      <c r="I15" s="618"/>
      <c r="J15" s="618"/>
      <c r="K15" s="618"/>
      <c r="L15" s="618"/>
      <c r="M15" s="618"/>
      <c r="N15" s="618"/>
      <c r="O15" s="618"/>
      <c r="P15" s="618"/>
      <c r="Q15" s="618"/>
      <c r="R15" s="618"/>
      <c r="S15" s="618"/>
      <c r="T15" s="618"/>
      <c r="U15" s="618"/>
      <c r="V15" s="618"/>
      <c r="W15" s="618"/>
      <c r="X15" s="619"/>
      <c r="Y15" s="617"/>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9"/>
      <c r="AW15" s="36"/>
    </row>
    <row r="16" spans="1:49" x14ac:dyDescent="0.15">
      <c r="A16" s="36"/>
      <c r="B16" s="625"/>
      <c r="C16" s="626"/>
      <c r="D16" s="37"/>
      <c r="E16" s="37"/>
      <c r="F16" s="37"/>
      <c r="G16" s="617"/>
      <c r="H16" s="618"/>
      <c r="I16" s="618"/>
      <c r="J16" s="618"/>
      <c r="K16" s="618"/>
      <c r="L16" s="618"/>
      <c r="M16" s="618"/>
      <c r="N16" s="618"/>
      <c r="O16" s="618"/>
      <c r="P16" s="618"/>
      <c r="Q16" s="618"/>
      <c r="R16" s="618"/>
      <c r="S16" s="618"/>
      <c r="T16" s="618"/>
      <c r="U16" s="618"/>
      <c r="V16" s="618"/>
      <c r="W16" s="618"/>
      <c r="X16" s="619"/>
      <c r="Y16" s="617"/>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9"/>
      <c r="AW16" s="36"/>
    </row>
    <row r="17" spans="1:49" x14ac:dyDescent="0.15">
      <c r="A17" s="36"/>
      <c r="B17" s="625"/>
      <c r="C17" s="626"/>
      <c r="D17" s="37"/>
      <c r="E17" s="37"/>
      <c r="F17" s="37"/>
      <c r="G17" s="617"/>
      <c r="H17" s="618"/>
      <c r="I17" s="618"/>
      <c r="J17" s="618"/>
      <c r="K17" s="618"/>
      <c r="L17" s="618"/>
      <c r="M17" s="618"/>
      <c r="N17" s="618"/>
      <c r="O17" s="618"/>
      <c r="P17" s="618"/>
      <c r="Q17" s="618"/>
      <c r="R17" s="618"/>
      <c r="S17" s="618"/>
      <c r="T17" s="618"/>
      <c r="U17" s="618"/>
      <c r="V17" s="618"/>
      <c r="W17" s="618"/>
      <c r="X17" s="619"/>
      <c r="Y17" s="617"/>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9"/>
      <c r="AW17" s="36"/>
    </row>
    <row r="18" spans="1:49" x14ac:dyDescent="0.15">
      <c r="A18" s="36"/>
      <c r="B18" s="625"/>
      <c r="C18" s="626"/>
      <c r="D18" s="37"/>
      <c r="E18" s="37"/>
      <c r="F18" s="37"/>
      <c r="G18" s="617"/>
      <c r="H18" s="618"/>
      <c r="I18" s="618"/>
      <c r="J18" s="618"/>
      <c r="K18" s="618"/>
      <c r="L18" s="618"/>
      <c r="M18" s="618"/>
      <c r="N18" s="618"/>
      <c r="O18" s="618"/>
      <c r="P18" s="618"/>
      <c r="Q18" s="618"/>
      <c r="R18" s="618"/>
      <c r="S18" s="618"/>
      <c r="T18" s="618"/>
      <c r="U18" s="618"/>
      <c r="V18" s="618"/>
      <c r="W18" s="618"/>
      <c r="X18" s="619"/>
      <c r="Y18" s="617"/>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9"/>
      <c r="AW18" s="36"/>
    </row>
    <row r="19" spans="1:49" x14ac:dyDescent="0.15">
      <c r="A19" s="36"/>
      <c r="B19" s="627"/>
      <c r="C19" s="628"/>
      <c r="D19" s="35"/>
      <c r="E19" s="35"/>
      <c r="F19" s="35"/>
      <c r="G19" s="620"/>
      <c r="H19" s="621"/>
      <c r="I19" s="621"/>
      <c r="J19" s="621"/>
      <c r="K19" s="621"/>
      <c r="L19" s="621"/>
      <c r="M19" s="621"/>
      <c r="N19" s="621"/>
      <c r="O19" s="621"/>
      <c r="P19" s="621"/>
      <c r="Q19" s="621"/>
      <c r="R19" s="621"/>
      <c r="S19" s="621"/>
      <c r="T19" s="621"/>
      <c r="U19" s="621"/>
      <c r="V19" s="621"/>
      <c r="W19" s="621"/>
      <c r="X19" s="622"/>
      <c r="Y19" s="620"/>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2"/>
      <c r="AW19" s="36"/>
    </row>
    <row r="20" spans="1:49" x14ac:dyDescent="0.15">
      <c r="A20" s="36"/>
      <c r="B20" s="638" t="s">
        <v>93</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40"/>
      <c r="AW20" s="36"/>
    </row>
    <row r="21" spans="1:49" x14ac:dyDescent="0.15">
      <c r="A21" s="36"/>
      <c r="B21" s="641"/>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3"/>
      <c r="AW21" s="36"/>
    </row>
    <row r="22" spans="1:49" x14ac:dyDescent="0.15">
      <c r="A22" s="36"/>
      <c r="B22" s="623">
        <v>2</v>
      </c>
      <c r="C22" s="624"/>
      <c r="D22" s="34"/>
      <c r="E22" s="34"/>
      <c r="F22" s="34"/>
      <c r="G22" s="360" t="s">
        <v>94</v>
      </c>
      <c r="H22" s="615"/>
      <c r="I22" s="615"/>
      <c r="J22" s="615"/>
      <c r="K22" s="615"/>
      <c r="L22" s="615"/>
      <c r="M22" s="615"/>
      <c r="N22" s="615"/>
      <c r="O22" s="615"/>
      <c r="P22" s="615"/>
      <c r="Q22" s="615"/>
      <c r="R22" s="615"/>
      <c r="S22" s="615"/>
      <c r="T22" s="615"/>
      <c r="U22" s="615"/>
      <c r="V22" s="615"/>
      <c r="W22" s="615"/>
      <c r="X22" s="616"/>
      <c r="Y22" s="360" t="s">
        <v>95</v>
      </c>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6"/>
      <c r="AW22" s="36"/>
    </row>
    <row r="23" spans="1:49" x14ac:dyDescent="0.15">
      <c r="A23" s="36"/>
      <c r="B23" s="625"/>
      <c r="C23" s="626"/>
      <c r="D23" s="37"/>
      <c r="E23" s="37"/>
      <c r="F23" s="37"/>
      <c r="G23" s="617"/>
      <c r="H23" s="618"/>
      <c r="I23" s="618"/>
      <c r="J23" s="618"/>
      <c r="K23" s="618"/>
      <c r="L23" s="618"/>
      <c r="M23" s="618"/>
      <c r="N23" s="618"/>
      <c r="O23" s="618"/>
      <c r="P23" s="618"/>
      <c r="Q23" s="618"/>
      <c r="R23" s="618"/>
      <c r="S23" s="618"/>
      <c r="T23" s="618"/>
      <c r="U23" s="618"/>
      <c r="V23" s="618"/>
      <c r="W23" s="618"/>
      <c r="X23" s="619"/>
      <c r="Y23" s="617"/>
      <c r="Z23" s="618"/>
      <c r="AA23" s="618"/>
      <c r="AB23" s="618"/>
      <c r="AC23" s="618"/>
      <c r="AD23" s="618"/>
      <c r="AE23" s="618"/>
      <c r="AF23" s="618"/>
      <c r="AG23" s="618"/>
      <c r="AH23" s="618"/>
      <c r="AI23" s="618"/>
      <c r="AJ23" s="618"/>
      <c r="AK23" s="618"/>
      <c r="AL23" s="618"/>
      <c r="AM23" s="618"/>
      <c r="AN23" s="618"/>
      <c r="AO23" s="618"/>
      <c r="AP23" s="618"/>
      <c r="AQ23" s="618"/>
      <c r="AR23" s="618"/>
      <c r="AS23" s="618"/>
      <c r="AT23" s="618"/>
      <c r="AU23" s="618"/>
      <c r="AV23" s="619"/>
      <c r="AW23" s="36"/>
    </row>
    <row r="24" spans="1:49" x14ac:dyDescent="0.15">
      <c r="A24" s="36"/>
      <c r="B24" s="625"/>
      <c r="C24" s="626"/>
      <c r="D24" s="37"/>
      <c r="E24" s="37"/>
      <c r="F24" s="37"/>
      <c r="G24" s="617"/>
      <c r="H24" s="618"/>
      <c r="I24" s="618"/>
      <c r="J24" s="618"/>
      <c r="K24" s="618"/>
      <c r="L24" s="618"/>
      <c r="M24" s="618"/>
      <c r="N24" s="618"/>
      <c r="O24" s="618"/>
      <c r="P24" s="618"/>
      <c r="Q24" s="618"/>
      <c r="R24" s="618"/>
      <c r="S24" s="618"/>
      <c r="T24" s="618"/>
      <c r="U24" s="618"/>
      <c r="V24" s="618"/>
      <c r="W24" s="618"/>
      <c r="X24" s="619"/>
      <c r="Y24" s="617"/>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9"/>
      <c r="AW24" s="36"/>
    </row>
    <row r="25" spans="1:49" x14ac:dyDescent="0.15">
      <c r="A25" s="36"/>
      <c r="B25" s="625"/>
      <c r="C25" s="626"/>
      <c r="D25" s="37"/>
      <c r="E25" s="37"/>
      <c r="F25" s="37"/>
      <c r="G25" s="617"/>
      <c r="H25" s="618"/>
      <c r="I25" s="618"/>
      <c r="J25" s="618"/>
      <c r="K25" s="618"/>
      <c r="L25" s="618"/>
      <c r="M25" s="618"/>
      <c r="N25" s="618"/>
      <c r="O25" s="618"/>
      <c r="P25" s="618"/>
      <c r="Q25" s="618"/>
      <c r="R25" s="618"/>
      <c r="S25" s="618"/>
      <c r="T25" s="618"/>
      <c r="U25" s="618"/>
      <c r="V25" s="618"/>
      <c r="W25" s="618"/>
      <c r="X25" s="619"/>
      <c r="Y25" s="617"/>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9"/>
      <c r="AW25" s="36"/>
    </row>
    <row r="26" spans="1:49" x14ac:dyDescent="0.15">
      <c r="A26" s="36"/>
      <c r="B26" s="625"/>
      <c r="C26" s="626"/>
      <c r="D26" s="37"/>
      <c r="E26" s="37"/>
      <c r="F26" s="37"/>
      <c r="G26" s="617"/>
      <c r="H26" s="618"/>
      <c r="I26" s="618"/>
      <c r="J26" s="618"/>
      <c r="K26" s="618"/>
      <c r="L26" s="618"/>
      <c r="M26" s="618"/>
      <c r="N26" s="618"/>
      <c r="O26" s="618"/>
      <c r="P26" s="618"/>
      <c r="Q26" s="618"/>
      <c r="R26" s="618"/>
      <c r="S26" s="618"/>
      <c r="T26" s="618"/>
      <c r="U26" s="618"/>
      <c r="V26" s="618"/>
      <c r="W26" s="618"/>
      <c r="X26" s="619"/>
      <c r="Y26" s="617"/>
      <c r="Z26" s="618"/>
      <c r="AA26" s="618"/>
      <c r="AB26" s="618"/>
      <c r="AC26" s="618"/>
      <c r="AD26" s="618"/>
      <c r="AE26" s="618"/>
      <c r="AF26" s="618"/>
      <c r="AG26" s="618"/>
      <c r="AH26" s="618"/>
      <c r="AI26" s="618"/>
      <c r="AJ26" s="618"/>
      <c r="AK26" s="618"/>
      <c r="AL26" s="618"/>
      <c r="AM26" s="618"/>
      <c r="AN26" s="618"/>
      <c r="AO26" s="618"/>
      <c r="AP26" s="618"/>
      <c r="AQ26" s="618"/>
      <c r="AR26" s="618"/>
      <c r="AS26" s="618"/>
      <c r="AT26" s="618"/>
      <c r="AU26" s="618"/>
      <c r="AV26" s="619"/>
      <c r="AW26" s="36"/>
    </row>
    <row r="27" spans="1:49" x14ac:dyDescent="0.15">
      <c r="A27" s="36"/>
      <c r="B27" s="625"/>
      <c r="C27" s="626"/>
      <c r="D27" s="37"/>
      <c r="E27" s="37"/>
      <c r="F27" s="37"/>
      <c r="G27" s="617"/>
      <c r="H27" s="618"/>
      <c r="I27" s="618"/>
      <c r="J27" s="618"/>
      <c r="K27" s="618"/>
      <c r="L27" s="618"/>
      <c r="M27" s="618"/>
      <c r="N27" s="618"/>
      <c r="O27" s="618"/>
      <c r="P27" s="618"/>
      <c r="Q27" s="618"/>
      <c r="R27" s="618"/>
      <c r="S27" s="618"/>
      <c r="T27" s="618"/>
      <c r="U27" s="618"/>
      <c r="V27" s="618"/>
      <c r="W27" s="618"/>
      <c r="X27" s="619"/>
      <c r="Y27" s="617"/>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618"/>
      <c r="AV27" s="619"/>
      <c r="AW27" s="36"/>
    </row>
    <row r="28" spans="1:49" x14ac:dyDescent="0.15">
      <c r="A28" s="36"/>
      <c r="B28" s="627"/>
      <c r="C28" s="628"/>
      <c r="D28" s="35"/>
      <c r="E28" s="35"/>
      <c r="F28" s="35"/>
      <c r="G28" s="620"/>
      <c r="H28" s="621"/>
      <c r="I28" s="621"/>
      <c r="J28" s="621"/>
      <c r="K28" s="621"/>
      <c r="L28" s="621"/>
      <c r="M28" s="621"/>
      <c r="N28" s="621"/>
      <c r="O28" s="621"/>
      <c r="P28" s="621"/>
      <c r="Q28" s="621"/>
      <c r="R28" s="621"/>
      <c r="S28" s="621"/>
      <c r="T28" s="621"/>
      <c r="U28" s="621"/>
      <c r="V28" s="621"/>
      <c r="W28" s="621"/>
      <c r="X28" s="622"/>
      <c r="Y28" s="620"/>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2"/>
      <c r="AW28" s="36"/>
    </row>
    <row r="29" spans="1:49" x14ac:dyDescent="0.15">
      <c r="A29" s="36"/>
      <c r="B29" s="623">
        <v>3</v>
      </c>
      <c r="C29" s="624"/>
      <c r="D29" s="34"/>
      <c r="E29" s="34"/>
      <c r="F29" s="34"/>
      <c r="G29" s="360" t="s">
        <v>96</v>
      </c>
      <c r="H29" s="615"/>
      <c r="I29" s="615"/>
      <c r="J29" s="615"/>
      <c r="K29" s="615"/>
      <c r="L29" s="615"/>
      <c r="M29" s="615"/>
      <c r="N29" s="615"/>
      <c r="O29" s="615"/>
      <c r="P29" s="615"/>
      <c r="Q29" s="615"/>
      <c r="R29" s="615"/>
      <c r="S29" s="615"/>
      <c r="T29" s="615"/>
      <c r="U29" s="615"/>
      <c r="V29" s="615"/>
      <c r="W29" s="615"/>
      <c r="X29" s="616"/>
      <c r="Y29" s="629" t="s">
        <v>97</v>
      </c>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1"/>
      <c r="AW29" s="36"/>
    </row>
    <row r="30" spans="1:49" x14ac:dyDescent="0.15">
      <c r="A30" s="36"/>
      <c r="B30" s="625"/>
      <c r="C30" s="626"/>
      <c r="D30" s="37"/>
      <c r="E30" s="37"/>
      <c r="F30" s="37"/>
      <c r="G30" s="617"/>
      <c r="H30" s="618"/>
      <c r="I30" s="618"/>
      <c r="J30" s="618"/>
      <c r="K30" s="618"/>
      <c r="L30" s="618"/>
      <c r="M30" s="618"/>
      <c r="N30" s="618"/>
      <c r="O30" s="618"/>
      <c r="P30" s="618"/>
      <c r="Q30" s="618"/>
      <c r="R30" s="618"/>
      <c r="S30" s="618"/>
      <c r="T30" s="618"/>
      <c r="U30" s="618"/>
      <c r="V30" s="618"/>
      <c r="W30" s="618"/>
      <c r="X30" s="619"/>
      <c r="Y30" s="632"/>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4"/>
      <c r="AW30" s="36"/>
    </row>
    <row r="31" spans="1:49" x14ac:dyDescent="0.15">
      <c r="A31" s="36"/>
      <c r="B31" s="625"/>
      <c r="C31" s="626"/>
      <c r="D31" s="37"/>
      <c r="E31" s="37"/>
      <c r="F31" s="37"/>
      <c r="G31" s="617"/>
      <c r="H31" s="618"/>
      <c r="I31" s="618"/>
      <c r="J31" s="618"/>
      <c r="K31" s="618"/>
      <c r="L31" s="618"/>
      <c r="M31" s="618"/>
      <c r="N31" s="618"/>
      <c r="O31" s="618"/>
      <c r="P31" s="618"/>
      <c r="Q31" s="618"/>
      <c r="R31" s="618"/>
      <c r="S31" s="618"/>
      <c r="T31" s="618"/>
      <c r="U31" s="618"/>
      <c r="V31" s="618"/>
      <c r="W31" s="618"/>
      <c r="X31" s="619"/>
      <c r="Y31" s="632"/>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4"/>
      <c r="AW31" s="36"/>
    </row>
    <row r="32" spans="1:49" x14ac:dyDescent="0.15">
      <c r="A32" s="36"/>
      <c r="B32" s="625"/>
      <c r="C32" s="626"/>
      <c r="D32" s="37"/>
      <c r="E32" s="37"/>
      <c r="F32" s="37"/>
      <c r="G32" s="617"/>
      <c r="H32" s="618"/>
      <c r="I32" s="618"/>
      <c r="J32" s="618"/>
      <c r="K32" s="618"/>
      <c r="L32" s="618"/>
      <c r="M32" s="618"/>
      <c r="N32" s="618"/>
      <c r="O32" s="618"/>
      <c r="P32" s="618"/>
      <c r="Q32" s="618"/>
      <c r="R32" s="618"/>
      <c r="S32" s="618"/>
      <c r="T32" s="618"/>
      <c r="U32" s="618"/>
      <c r="V32" s="618"/>
      <c r="W32" s="618"/>
      <c r="X32" s="619"/>
      <c r="Y32" s="632"/>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4"/>
      <c r="AW32" s="36"/>
    </row>
    <row r="33" spans="1:49" x14ac:dyDescent="0.15">
      <c r="A33" s="36"/>
      <c r="B33" s="625"/>
      <c r="C33" s="626"/>
      <c r="D33" s="37"/>
      <c r="E33" s="37"/>
      <c r="F33" s="37"/>
      <c r="G33" s="617"/>
      <c r="H33" s="618"/>
      <c r="I33" s="618"/>
      <c r="J33" s="618"/>
      <c r="K33" s="618"/>
      <c r="L33" s="618"/>
      <c r="M33" s="618"/>
      <c r="N33" s="618"/>
      <c r="O33" s="618"/>
      <c r="P33" s="618"/>
      <c r="Q33" s="618"/>
      <c r="R33" s="618"/>
      <c r="S33" s="618"/>
      <c r="T33" s="618"/>
      <c r="U33" s="618"/>
      <c r="V33" s="618"/>
      <c r="W33" s="618"/>
      <c r="X33" s="619"/>
      <c r="Y33" s="632"/>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34"/>
      <c r="AW33" s="36"/>
    </row>
    <row r="34" spans="1:49" x14ac:dyDescent="0.15">
      <c r="A34" s="36"/>
      <c r="B34" s="625"/>
      <c r="C34" s="626"/>
      <c r="D34" s="37"/>
      <c r="E34" s="37"/>
      <c r="F34" s="37"/>
      <c r="G34" s="617"/>
      <c r="H34" s="618"/>
      <c r="I34" s="618"/>
      <c r="J34" s="618"/>
      <c r="K34" s="618"/>
      <c r="L34" s="618"/>
      <c r="M34" s="618"/>
      <c r="N34" s="618"/>
      <c r="O34" s="618"/>
      <c r="P34" s="618"/>
      <c r="Q34" s="618"/>
      <c r="R34" s="618"/>
      <c r="S34" s="618"/>
      <c r="T34" s="618"/>
      <c r="U34" s="618"/>
      <c r="V34" s="618"/>
      <c r="W34" s="618"/>
      <c r="X34" s="619"/>
      <c r="Y34" s="632"/>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33"/>
      <c r="AV34" s="634"/>
      <c r="AW34" s="36"/>
    </row>
    <row r="35" spans="1:49" x14ac:dyDescent="0.15">
      <c r="A35" s="36"/>
      <c r="B35" s="627"/>
      <c r="C35" s="628"/>
      <c r="D35" s="35"/>
      <c r="E35" s="35"/>
      <c r="F35" s="35"/>
      <c r="G35" s="620"/>
      <c r="H35" s="621"/>
      <c r="I35" s="621"/>
      <c r="J35" s="621"/>
      <c r="K35" s="621"/>
      <c r="L35" s="621"/>
      <c r="M35" s="621"/>
      <c r="N35" s="621"/>
      <c r="O35" s="621"/>
      <c r="P35" s="621"/>
      <c r="Q35" s="621"/>
      <c r="R35" s="621"/>
      <c r="S35" s="621"/>
      <c r="T35" s="621"/>
      <c r="U35" s="621"/>
      <c r="V35" s="621"/>
      <c r="W35" s="621"/>
      <c r="X35" s="622"/>
      <c r="Y35" s="635"/>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7"/>
      <c r="AW35" s="36"/>
    </row>
    <row r="36" spans="1:49" ht="12" customHeight="1" x14ac:dyDescent="0.15">
      <c r="A36" s="36"/>
      <c r="B36" s="623">
        <v>4</v>
      </c>
      <c r="C36" s="624"/>
      <c r="D36" s="34"/>
      <c r="E36" s="34"/>
      <c r="F36" s="34"/>
      <c r="G36" s="360" t="s">
        <v>373</v>
      </c>
      <c r="H36" s="615"/>
      <c r="I36" s="615"/>
      <c r="J36" s="615"/>
      <c r="K36" s="615"/>
      <c r="L36" s="615"/>
      <c r="M36" s="615"/>
      <c r="N36" s="615"/>
      <c r="O36" s="615"/>
      <c r="P36" s="615"/>
      <c r="Q36" s="615"/>
      <c r="R36" s="615"/>
      <c r="S36" s="615"/>
      <c r="T36" s="615"/>
      <c r="U36" s="615"/>
      <c r="V36" s="615"/>
      <c r="W36" s="615"/>
      <c r="X36" s="616"/>
      <c r="Y36" s="629" t="s">
        <v>374</v>
      </c>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1"/>
      <c r="AW36" s="36"/>
    </row>
    <row r="37" spans="1:49" x14ac:dyDescent="0.15">
      <c r="A37" s="36"/>
      <c r="B37" s="625"/>
      <c r="C37" s="626"/>
      <c r="D37" s="37"/>
      <c r="E37" s="37"/>
      <c r="F37" s="37"/>
      <c r="G37" s="617"/>
      <c r="H37" s="618"/>
      <c r="I37" s="618"/>
      <c r="J37" s="618"/>
      <c r="K37" s="618"/>
      <c r="L37" s="618"/>
      <c r="M37" s="618"/>
      <c r="N37" s="618"/>
      <c r="O37" s="618"/>
      <c r="P37" s="618"/>
      <c r="Q37" s="618"/>
      <c r="R37" s="618"/>
      <c r="S37" s="618"/>
      <c r="T37" s="618"/>
      <c r="U37" s="618"/>
      <c r="V37" s="618"/>
      <c r="W37" s="618"/>
      <c r="X37" s="619"/>
      <c r="Y37" s="632"/>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4"/>
      <c r="AW37" s="36"/>
    </row>
    <row r="38" spans="1:49" x14ac:dyDescent="0.15">
      <c r="A38" s="36"/>
      <c r="B38" s="625"/>
      <c r="C38" s="626"/>
      <c r="D38" s="37"/>
      <c r="E38" s="37"/>
      <c r="F38" s="37"/>
      <c r="G38" s="617"/>
      <c r="H38" s="618"/>
      <c r="I38" s="618"/>
      <c r="J38" s="618"/>
      <c r="K38" s="618"/>
      <c r="L38" s="618"/>
      <c r="M38" s="618"/>
      <c r="N38" s="618"/>
      <c r="O38" s="618"/>
      <c r="P38" s="618"/>
      <c r="Q38" s="618"/>
      <c r="R38" s="618"/>
      <c r="S38" s="618"/>
      <c r="T38" s="618"/>
      <c r="U38" s="618"/>
      <c r="V38" s="618"/>
      <c r="W38" s="618"/>
      <c r="X38" s="619"/>
      <c r="Y38" s="632"/>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4"/>
      <c r="AW38" s="36"/>
    </row>
    <row r="39" spans="1:49" x14ac:dyDescent="0.15">
      <c r="A39" s="36"/>
      <c r="B39" s="625"/>
      <c r="C39" s="626"/>
      <c r="D39" s="37"/>
      <c r="E39" s="37"/>
      <c r="F39" s="37"/>
      <c r="G39" s="617"/>
      <c r="H39" s="618"/>
      <c r="I39" s="618"/>
      <c r="J39" s="618"/>
      <c r="K39" s="618"/>
      <c r="L39" s="618"/>
      <c r="M39" s="618"/>
      <c r="N39" s="618"/>
      <c r="O39" s="618"/>
      <c r="P39" s="618"/>
      <c r="Q39" s="618"/>
      <c r="R39" s="618"/>
      <c r="S39" s="618"/>
      <c r="T39" s="618"/>
      <c r="U39" s="618"/>
      <c r="V39" s="618"/>
      <c r="W39" s="618"/>
      <c r="X39" s="619"/>
      <c r="Y39" s="632"/>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4"/>
      <c r="AW39" s="36"/>
    </row>
    <row r="40" spans="1:49" x14ac:dyDescent="0.15">
      <c r="A40" s="36"/>
      <c r="B40" s="625"/>
      <c r="C40" s="626"/>
      <c r="D40" s="37"/>
      <c r="E40" s="37"/>
      <c r="F40" s="37"/>
      <c r="G40" s="617"/>
      <c r="H40" s="618"/>
      <c r="I40" s="618"/>
      <c r="J40" s="618"/>
      <c r="K40" s="618"/>
      <c r="L40" s="618"/>
      <c r="M40" s="618"/>
      <c r="N40" s="618"/>
      <c r="O40" s="618"/>
      <c r="P40" s="618"/>
      <c r="Q40" s="618"/>
      <c r="R40" s="618"/>
      <c r="S40" s="618"/>
      <c r="T40" s="618"/>
      <c r="U40" s="618"/>
      <c r="V40" s="618"/>
      <c r="W40" s="618"/>
      <c r="X40" s="619"/>
      <c r="Y40" s="632"/>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4"/>
      <c r="AW40" s="36"/>
    </row>
    <row r="41" spans="1:49" x14ac:dyDescent="0.15">
      <c r="A41" s="36"/>
      <c r="B41" s="627"/>
      <c r="C41" s="628"/>
      <c r="D41" s="35"/>
      <c r="E41" s="35"/>
      <c r="F41" s="35"/>
      <c r="G41" s="620"/>
      <c r="H41" s="621"/>
      <c r="I41" s="621"/>
      <c r="J41" s="621"/>
      <c r="K41" s="621"/>
      <c r="L41" s="621"/>
      <c r="M41" s="621"/>
      <c r="N41" s="621"/>
      <c r="O41" s="621"/>
      <c r="P41" s="621"/>
      <c r="Q41" s="621"/>
      <c r="R41" s="621"/>
      <c r="S41" s="621"/>
      <c r="T41" s="621"/>
      <c r="U41" s="621"/>
      <c r="V41" s="621"/>
      <c r="W41" s="621"/>
      <c r="X41" s="622"/>
      <c r="Y41" s="635"/>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7"/>
      <c r="AW41" s="36"/>
    </row>
    <row r="42" spans="1:49" x14ac:dyDescent="0.15">
      <c r="A42" s="36"/>
      <c r="B42" s="638" t="s">
        <v>98</v>
      </c>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40"/>
      <c r="AW42" s="36"/>
    </row>
    <row r="43" spans="1:49" x14ac:dyDescent="0.15">
      <c r="A43" s="36"/>
      <c r="B43" s="641"/>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3"/>
      <c r="AW43" s="36"/>
    </row>
    <row r="44" spans="1:49" ht="12" customHeight="1" x14ac:dyDescent="0.15">
      <c r="A44" s="36"/>
      <c r="B44" s="623">
        <v>5</v>
      </c>
      <c r="C44" s="624"/>
      <c r="D44" s="34"/>
      <c r="E44" s="34"/>
      <c r="F44" s="34"/>
      <c r="G44" s="644" t="s">
        <v>99</v>
      </c>
      <c r="H44" s="645"/>
      <c r="I44" s="645"/>
      <c r="J44" s="645"/>
      <c r="K44" s="645"/>
      <c r="L44" s="645"/>
      <c r="M44" s="645"/>
      <c r="N44" s="645"/>
      <c r="O44" s="645"/>
      <c r="P44" s="645"/>
      <c r="Q44" s="645"/>
      <c r="R44" s="645"/>
      <c r="S44" s="645"/>
      <c r="T44" s="645"/>
      <c r="U44" s="645"/>
      <c r="V44" s="645"/>
      <c r="W44" s="645"/>
      <c r="X44" s="646"/>
      <c r="Y44" s="629" t="s">
        <v>232</v>
      </c>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1"/>
      <c r="AW44" s="36"/>
    </row>
    <row r="45" spans="1:49" ht="19.5" customHeight="1" x14ac:dyDescent="0.15">
      <c r="A45" s="36"/>
      <c r="B45" s="625"/>
      <c r="C45" s="626"/>
      <c r="D45" s="37"/>
      <c r="E45" s="37"/>
      <c r="F45" s="37"/>
      <c r="G45" s="647"/>
      <c r="H45" s="648"/>
      <c r="I45" s="648"/>
      <c r="J45" s="648"/>
      <c r="K45" s="648"/>
      <c r="L45" s="648"/>
      <c r="M45" s="648"/>
      <c r="N45" s="648"/>
      <c r="O45" s="648"/>
      <c r="P45" s="648"/>
      <c r="Q45" s="648"/>
      <c r="R45" s="648"/>
      <c r="S45" s="648"/>
      <c r="T45" s="648"/>
      <c r="U45" s="648"/>
      <c r="V45" s="648"/>
      <c r="W45" s="648"/>
      <c r="X45" s="649"/>
      <c r="Y45" s="632"/>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4"/>
      <c r="AW45" s="36"/>
    </row>
    <row r="46" spans="1:49" ht="18.75" customHeight="1" x14ac:dyDescent="0.15">
      <c r="A46" s="36"/>
      <c r="B46" s="627"/>
      <c r="C46" s="628"/>
      <c r="D46" s="35"/>
      <c r="E46" s="35"/>
      <c r="F46" s="35"/>
      <c r="G46" s="650"/>
      <c r="H46" s="651"/>
      <c r="I46" s="651"/>
      <c r="J46" s="651"/>
      <c r="K46" s="651"/>
      <c r="L46" s="651"/>
      <c r="M46" s="651"/>
      <c r="N46" s="651"/>
      <c r="O46" s="651"/>
      <c r="P46" s="651"/>
      <c r="Q46" s="651"/>
      <c r="R46" s="651"/>
      <c r="S46" s="651"/>
      <c r="T46" s="651"/>
      <c r="U46" s="651"/>
      <c r="V46" s="651"/>
      <c r="W46" s="651"/>
      <c r="X46" s="652"/>
      <c r="Y46" s="635"/>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7"/>
      <c r="AW46" s="36"/>
    </row>
    <row r="47" spans="1:49" x14ac:dyDescent="0.15">
      <c r="A47" s="36"/>
      <c r="B47" s="638" t="s">
        <v>100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40"/>
      <c r="AW47" s="36"/>
    </row>
    <row r="48" spans="1:49" x14ac:dyDescent="0.15">
      <c r="A48" s="36"/>
      <c r="B48" s="641"/>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3"/>
      <c r="AW48" s="36"/>
    </row>
    <row r="49" spans="1:49" x14ac:dyDescent="0.15">
      <c r="A49" s="36"/>
      <c r="B49" s="625">
        <v>6</v>
      </c>
      <c r="C49" s="626"/>
      <c r="D49" s="37"/>
      <c r="E49" s="37"/>
      <c r="F49" s="37"/>
      <c r="G49" s="617" t="s">
        <v>101</v>
      </c>
      <c r="H49" s="618"/>
      <c r="I49" s="618"/>
      <c r="J49" s="618"/>
      <c r="K49" s="618"/>
      <c r="L49" s="618"/>
      <c r="M49" s="618"/>
      <c r="N49" s="618"/>
      <c r="O49" s="618"/>
      <c r="P49" s="618"/>
      <c r="Q49" s="618"/>
      <c r="R49" s="618"/>
      <c r="S49" s="618"/>
      <c r="T49" s="618"/>
      <c r="U49" s="618"/>
      <c r="V49" s="618"/>
      <c r="W49" s="618"/>
      <c r="X49" s="619"/>
      <c r="Y49" s="617" t="s">
        <v>102</v>
      </c>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9"/>
      <c r="AW49" s="36"/>
    </row>
    <row r="50" spans="1:49" x14ac:dyDescent="0.15">
      <c r="A50" s="36"/>
      <c r="B50" s="625"/>
      <c r="C50" s="626"/>
      <c r="D50" s="37"/>
      <c r="E50" s="37"/>
      <c r="F50" s="37"/>
      <c r="G50" s="617"/>
      <c r="H50" s="618"/>
      <c r="I50" s="618"/>
      <c r="J50" s="618"/>
      <c r="K50" s="618"/>
      <c r="L50" s="618"/>
      <c r="M50" s="618"/>
      <c r="N50" s="618"/>
      <c r="O50" s="618"/>
      <c r="P50" s="618"/>
      <c r="Q50" s="618"/>
      <c r="R50" s="618"/>
      <c r="S50" s="618"/>
      <c r="T50" s="618"/>
      <c r="U50" s="618"/>
      <c r="V50" s="618"/>
      <c r="W50" s="618"/>
      <c r="X50" s="619"/>
      <c r="Y50" s="617"/>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9"/>
      <c r="AW50" s="36"/>
    </row>
    <row r="51" spans="1:49" x14ac:dyDescent="0.15">
      <c r="A51" s="36"/>
      <c r="B51" s="627"/>
      <c r="C51" s="628"/>
      <c r="D51" s="35"/>
      <c r="E51" s="35"/>
      <c r="F51" s="35"/>
      <c r="G51" s="620"/>
      <c r="H51" s="621"/>
      <c r="I51" s="621"/>
      <c r="J51" s="621"/>
      <c r="K51" s="621"/>
      <c r="L51" s="621"/>
      <c r="M51" s="621"/>
      <c r="N51" s="621"/>
      <c r="O51" s="621"/>
      <c r="P51" s="621"/>
      <c r="Q51" s="621"/>
      <c r="R51" s="621"/>
      <c r="S51" s="621"/>
      <c r="T51" s="621"/>
      <c r="U51" s="621"/>
      <c r="V51" s="621"/>
      <c r="W51" s="621"/>
      <c r="X51" s="622"/>
      <c r="Y51" s="620"/>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2"/>
      <c r="AW51" s="36"/>
    </row>
    <row r="52" spans="1:49" x14ac:dyDescent="0.15">
      <c r="A52" s="36"/>
      <c r="B52" s="623">
        <v>7</v>
      </c>
      <c r="C52" s="624"/>
      <c r="D52" s="34"/>
      <c r="E52" s="34"/>
      <c r="F52" s="34"/>
      <c r="G52" s="360" t="s">
        <v>103</v>
      </c>
      <c r="H52" s="615"/>
      <c r="I52" s="615"/>
      <c r="J52" s="615"/>
      <c r="K52" s="615"/>
      <c r="L52" s="615"/>
      <c r="M52" s="615"/>
      <c r="N52" s="615"/>
      <c r="O52" s="615"/>
      <c r="P52" s="615"/>
      <c r="Q52" s="615"/>
      <c r="R52" s="615"/>
      <c r="S52" s="615"/>
      <c r="T52" s="615"/>
      <c r="U52" s="615"/>
      <c r="V52" s="615"/>
      <c r="W52" s="615"/>
      <c r="X52" s="616"/>
      <c r="Y52" s="360" t="s">
        <v>104</v>
      </c>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6"/>
      <c r="AW52" s="36"/>
    </row>
    <row r="53" spans="1:49" x14ac:dyDescent="0.15">
      <c r="A53" s="36"/>
      <c r="B53" s="625"/>
      <c r="C53" s="626"/>
      <c r="D53" s="37"/>
      <c r="E53" s="37"/>
      <c r="F53" s="37"/>
      <c r="G53" s="617"/>
      <c r="H53" s="618"/>
      <c r="I53" s="618"/>
      <c r="J53" s="618"/>
      <c r="K53" s="618"/>
      <c r="L53" s="618"/>
      <c r="M53" s="618"/>
      <c r="N53" s="618"/>
      <c r="O53" s="618"/>
      <c r="P53" s="618"/>
      <c r="Q53" s="618"/>
      <c r="R53" s="618"/>
      <c r="S53" s="618"/>
      <c r="T53" s="618"/>
      <c r="U53" s="618"/>
      <c r="V53" s="618"/>
      <c r="W53" s="618"/>
      <c r="X53" s="619"/>
      <c r="Y53" s="617"/>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9"/>
      <c r="AW53" s="36"/>
    </row>
    <row r="54" spans="1:49" x14ac:dyDescent="0.15">
      <c r="A54" s="36"/>
      <c r="B54" s="627"/>
      <c r="C54" s="628"/>
      <c r="D54" s="35"/>
      <c r="E54" s="35"/>
      <c r="F54" s="35"/>
      <c r="G54" s="620"/>
      <c r="H54" s="621"/>
      <c r="I54" s="621"/>
      <c r="J54" s="621"/>
      <c r="K54" s="621"/>
      <c r="L54" s="621"/>
      <c r="M54" s="621"/>
      <c r="N54" s="621"/>
      <c r="O54" s="621"/>
      <c r="P54" s="621"/>
      <c r="Q54" s="621"/>
      <c r="R54" s="621"/>
      <c r="S54" s="621"/>
      <c r="T54" s="621"/>
      <c r="U54" s="621"/>
      <c r="V54" s="621"/>
      <c r="W54" s="621"/>
      <c r="X54" s="622"/>
      <c r="Y54" s="620"/>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2"/>
      <c r="AW54" s="36"/>
    </row>
    <row r="55" spans="1:49" x14ac:dyDescent="0.15">
      <c r="A55" s="36"/>
      <c r="B55" s="623">
        <v>8</v>
      </c>
      <c r="C55" s="624"/>
      <c r="D55" s="34"/>
      <c r="E55" s="34"/>
      <c r="F55" s="34"/>
      <c r="G55" s="644" t="s">
        <v>105</v>
      </c>
      <c r="H55" s="645"/>
      <c r="I55" s="645"/>
      <c r="J55" s="645"/>
      <c r="K55" s="645"/>
      <c r="L55" s="645"/>
      <c r="M55" s="645"/>
      <c r="N55" s="645"/>
      <c r="O55" s="645"/>
      <c r="P55" s="645"/>
      <c r="Q55" s="645"/>
      <c r="R55" s="645"/>
      <c r="S55" s="645"/>
      <c r="T55" s="645"/>
      <c r="U55" s="645"/>
      <c r="V55" s="645"/>
      <c r="W55" s="645"/>
      <c r="X55" s="646"/>
      <c r="Y55" s="360" t="s">
        <v>106</v>
      </c>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6"/>
      <c r="AW55" s="36"/>
    </row>
    <row r="56" spans="1:49" x14ac:dyDescent="0.15">
      <c r="A56" s="36"/>
      <c r="B56" s="625"/>
      <c r="C56" s="626"/>
      <c r="D56" s="37"/>
      <c r="E56" s="37"/>
      <c r="F56" s="37"/>
      <c r="G56" s="647"/>
      <c r="H56" s="648"/>
      <c r="I56" s="648"/>
      <c r="J56" s="648"/>
      <c r="K56" s="648"/>
      <c r="L56" s="648"/>
      <c r="M56" s="648"/>
      <c r="N56" s="648"/>
      <c r="O56" s="648"/>
      <c r="P56" s="648"/>
      <c r="Q56" s="648"/>
      <c r="R56" s="648"/>
      <c r="S56" s="648"/>
      <c r="T56" s="648"/>
      <c r="U56" s="648"/>
      <c r="V56" s="648"/>
      <c r="W56" s="648"/>
      <c r="X56" s="649"/>
      <c r="Y56" s="617"/>
      <c r="Z56" s="618"/>
      <c r="AA56" s="618"/>
      <c r="AB56" s="618"/>
      <c r="AC56" s="618"/>
      <c r="AD56" s="618"/>
      <c r="AE56" s="618"/>
      <c r="AF56" s="618"/>
      <c r="AG56" s="618"/>
      <c r="AH56" s="618"/>
      <c r="AI56" s="618"/>
      <c r="AJ56" s="618"/>
      <c r="AK56" s="618"/>
      <c r="AL56" s="618"/>
      <c r="AM56" s="618"/>
      <c r="AN56" s="618"/>
      <c r="AO56" s="618"/>
      <c r="AP56" s="618"/>
      <c r="AQ56" s="618"/>
      <c r="AR56" s="618"/>
      <c r="AS56" s="618"/>
      <c r="AT56" s="618"/>
      <c r="AU56" s="618"/>
      <c r="AV56" s="619"/>
      <c r="AW56" s="36"/>
    </row>
    <row r="57" spans="1:49" x14ac:dyDescent="0.15">
      <c r="A57" s="36"/>
      <c r="B57" s="627"/>
      <c r="C57" s="628"/>
      <c r="D57" s="35"/>
      <c r="E57" s="35"/>
      <c r="F57" s="35"/>
      <c r="G57" s="650"/>
      <c r="H57" s="651"/>
      <c r="I57" s="651"/>
      <c r="J57" s="651"/>
      <c r="K57" s="651"/>
      <c r="L57" s="651"/>
      <c r="M57" s="651"/>
      <c r="N57" s="651"/>
      <c r="O57" s="651"/>
      <c r="P57" s="651"/>
      <c r="Q57" s="651"/>
      <c r="R57" s="651"/>
      <c r="S57" s="651"/>
      <c r="T57" s="651"/>
      <c r="U57" s="651"/>
      <c r="V57" s="651"/>
      <c r="W57" s="651"/>
      <c r="X57" s="652"/>
      <c r="Y57" s="620"/>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2"/>
      <c r="AW57" s="36"/>
    </row>
    <row r="58" spans="1:49" x14ac:dyDescent="0.15">
      <c r="A58" s="36"/>
      <c r="B58" s="623">
        <v>9</v>
      </c>
      <c r="C58" s="624"/>
      <c r="D58" s="34"/>
      <c r="E58" s="34"/>
      <c r="F58" s="34"/>
      <c r="G58" s="644" t="s">
        <v>107</v>
      </c>
      <c r="H58" s="645"/>
      <c r="I58" s="645"/>
      <c r="J58" s="645"/>
      <c r="K58" s="645"/>
      <c r="L58" s="645"/>
      <c r="M58" s="645"/>
      <c r="N58" s="645"/>
      <c r="O58" s="645"/>
      <c r="P58" s="645"/>
      <c r="Q58" s="645"/>
      <c r="R58" s="645"/>
      <c r="S58" s="645"/>
      <c r="T58" s="645"/>
      <c r="U58" s="645"/>
      <c r="V58" s="645"/>
      <c r="W58" s="645"/>
      <c r="X58" s="646"/>
      <c r="Y58" s="360" t="s">
        <v>108</v>
      </c>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6"/>
      <c r="AW58" s="36"/>
    </row>
    <row r="59" spans="1:49" x14ac:dyDescent="0.15">
      <c r="A59" s="36"/>
      <c r="B59" s="625"/>
      <c r="C59" s="626"/>
      <c r="D59" s="37"/>
      <c r="E59" s="37"/>
      <c r="F59" s="37"/>
      <c r="G59" s="647"/>
      <c r="H59" s="648"/>
      <c r="I59" s="648"/>
      <c r="J59" s="648"/>
      <c r="K59" s="648"/>
      <c r="L59" s="648"/>
      <c r="M59" s="648"/>
      <c r="N59" s="648"/>
      <c r="O59" s="648"/>
      <c r="P59" s="648"/>
      <c r="Q59" s="648"/>
      <c r="R59" s="648"/>
      <c r="S59" s="648"/>
      <c r="T59" s="648"/>
      <c r="U59" s="648"/>
      <c r="V59" s="648"/>
      <c r="W59" s="648"/>
      <c r="X59" s="649"/>
      <c r="Y59" s="617"/>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9"/>
      <c r="AW59" s="36"/>
    </row>
    <row r="60" spans="1:49" x14ac:dyDescent="0.15">
      <c r="A60" s="36"/>
      <c r="B60" s="625"/>
      <c r="C60" s="626"/>
      <c r="D60" s="37"/>
      <c r="E60" s="37"/>
      <c r="F60" s="37"/>
      <c r="G60" s="647"/>
      <c r="H60" s="648"/>
      <c r="I60" s="648"/>
      <c r="J60" s="648"/>
      <c r="K60" s="648"/>
      <c r="L60" s="648"/>
      <c r="M60" s="648"/>
      <c r="N60" s="648"/>
      <c r="O60" s="648"/>
      <c r="P60" s="648"/>
      <c r="Q60" s="648"/>
      <c r="R60" s="648"/>
      <c r="S60" s="648"/>
      <c r="T60" s="648"/>
      <c r="U60" s="648"/>
      <c r="V60" s="648"/>
      <c r="W60" s="648"/>
      <c r="X60" s="649"/>
      <c r="Y60" s="617"/>
      <c r="Z60" s="618"/>
      <c r="AA60" s="618"/>
      <c r="AB60" s="618"/>
      <c r="AC60" s="618"/>
      <c r="AD60" s="618"/>
      <c r="AE60" s="618"/>
      <c r="AF60" s="618"/>
      <c r="AG60" s="618"/>
      <c r="AH60" s="618"/>
      <c r="AI60" s="618"/>
      <c r="AJ60" s="618"/>
      <c r="AK60" s="618"/>
      <c r="AL60" s="618"/>
      <c r="AM60" s="618"/>
      <c r="AN60" s="618"/>
      <c r="AO60" s="618"/>
      <c r="AP60" s="618"/>
      <c r="AQ60" s="618"/>
      <c r="AR60" s="618"/>
      <c r="AS60" s="618"/>
      <c r="AT60" s="618"/>
      <c r="AU60" s="618"/>
      <c r="AV60" s="619"/>
      <c r="AW60" s="36"/>
    </row>
    <row r="61" spans="1:49" x14ac:dyDescent="0.15">
      <c r="A61" s="36"/>
      <c r="B61" s="627"/>
      <c r="C61" s="628"/>
      <c r="D61" s="35"/>
      <c r="E61" s="35"/>
      <c r="F61" s="35"/>
      <c r="G61" s="650"/>
      <c r="H61" s="651"/>
      <c r="I61" s="651"/>
      <c r="J61" s="651"/>
      <c r="K61" s="651"/>
      <c r="L61" s="651"/>
      <c r="M61" s="651"/>
      <c r="N61" s="651"/>
      <c r="O61" s="651"/>
      <c r="P61" s="651"/>
      <c r="Q61" s="651"/>
      <c r="R61" s="651"/>
      <c r="S61" s="651"/>
      <c r="T61" s="651"/>
      <c r="U61" s="651"/>
      <c r="V61" s="651"/>
      <c r="W61" s="651"/>
      <c r="X61" s="652"/>
      <c r="Y61" s="620"/>
      <c r="Z61" s="621"/>
      <c r="AA61" s="621"/>
      <c r="AB61" s="621"/>
      <c r="AC61" s="621"/>
      <c r="AD61" s="621"/>
      <c r="AE61" s="621"/>
      <c r="AF61" s="621"/>
      <c r="AG61" s="621"/>
      <c r="AH61" s="621"/>
      <c r="AI61" s="621"/>
      <c r="AJ61" s="621"/>
      <c r="AK61" s="621"/>
      <c r="AL61" s="621"/>
      <c r="AM61" s="621"/>
      <c r="AN61" s="621"/>
      <c r="AO61" s="621"/>
      <c r="AP61" s="621"/>
      <c r="AQ61" s="621"/>
      <c r="AR61" s="621"/>
      <c r="AS61" s="621"/>
      <c r="AT61" s="621"/>
      <c r="AU61" s="621"/>
      <c r="AV61" s="622"/>
      <c r="AW61" s="36"/>
    </row>
    <row r="62" spans="1:49" x14ac:dyDescent="0.15">
      <c r="A62" s="36"/>
      <c r="B62" s="623">
        <v>10</v>
      </c>
      <c r="C62" s="624"/>
      <c r="D62" s="34"/>
      <c r="E62" s="34"/>
      <c r="F62" s="34"/>
      <c r="G62" s="644" t="s">
        <v>225</v>
      </c>
      <c r="H62" s="645"/>
      <c r="I62" s="645"/>
      <c r="J62" s="645"/>
      <c r="K62" s="645"/>
      <c r="L62" s="645"/>
      <c r="M62" s="645"/>
      <c r="N62" s="645"/>
      <c r="O62" s="645"/>
      <c r="P62" s="645"/>
      <c r="Q62" s="645"/>
      <c r="R62" s="645"/>
      <c r="S62" s="645"/>
      <c r="T62" s="645"/>
      <c r="U62" s="645"/>
      <c r="V62" s="645"/>
      <c r="W62" s="645"/>
      <c r="X62" s="646"/>
      <c r="Y62" s="360" t="s">
        <v>224</v>
      </c>
      <c r="Z62" s="615"/>
      <c r="AA62" s="615"/>
      <c r="AB62" s="615"/>
      <c r="AC62" s="615"/>
      <c r="AD62" s="615"/>
      <c r="AE62" s="615"/>
      <c r="AF62" s="615"/>
      <c r="AG62" s="615"/>
      <c r="AH62" s="615"/>
      <c r="AI62" s="615"/>
      <c r="AJ62" s="615"/>
      <c r="AK62" s="615"/>
      <c r="AL62" s="615"/>
      <c r="AM62" s="615"/>
      <c r="AN62" s="615"/>
      <c r="AO62" s="615"/>
      <c r="AP62" s="615"/>
      <c r="AQ62" s="615"/>
      <c r="AR62" s="615"/>
      <c r="AS62" s="615"/>
      <c r="AT62" s="615"/>
      <c r="AU62" s="615"/>
      <c r="AV62" s="616"/>
      <c r="AW62" s="36"/>
    </row>
    <row r="63" spans="1:49" x14ac:dyDescent="0.15">
      <c r="A63" s="36"/>
      <c r="B63" s="625"/>
      <c r="C63" s="626"/>
      <c r="D63" s="37"/>
      <c r="E63" s="37"/>
      <c r="F63" s="37"/>
      <c r="G63" s="647"/>
      <c r="H63" s="648"/>
      <c r="I63" s="648"/>
      <c r="J63" s="648"/>
      <c r="K63" s="648"/>
      <c r="L63" s="648"/>
      <c r="M63" s="648"/>
      <c r="N63" s="648"/>
      <c r="O63" s="648"/>
      <c r="P63" s="648"/>
      <c r="Q63" s="648"/>
      <c r="R63" s="648"/>
      <c r="S63" s="648"/>
      <c r="T63" s="648"/>
      <c r="U63" s="648"/>
      <c r="V63" s="648"/>
      <c r="W63" s="648"/>
      <c r="X63" s="649"/>
      <c r="Y63" s="617"/>
      <c r="Z63" s="618"/>
      <c r="AA63" s="618"/>
      <c r="AB63" s="618"/>
      <c r="AC63" s="618"/>
      <c r="AD63" s="618"/>
      <c r="AE63" s="618"/>
      <c r="AF63" s="618"/>
      <c r="AG63" s="618"/>
      <c r="AH63" s="618"/>
      <c r="AI63" s="618"/>
      <c r="AJ63" s="618"/>
      <c r="AK63" s="618"/>
      <c r="AL63" s="618"/>
      <c r="AM63" s="618"/>
      <c r="AN63" s="618"/>
      <c r="AO63" s="618"/>
      <c r="AP63" s="618"/>
      <c r="AQ63" s="618"/>
      <c r="AR63" s="618"/>
      <c r="AS63" s="618"/>
      <c r="AT63" s="618"/>
      <c r="AU63" s="618"/>
      <c r="AV63" s="619"/>
      <c r="AW63" s="36"/>
    </row>
    <row r="64" spans="1:49" x14ac:dyDescent="0.15">
      <c r="A64" s="36"/>
      <c r="B64" s="625"/>
      <c r="C64" s="626"/>
      <c r="D64" s="37"/>
      <c r="E64" s="37"/>
      <c r="F64" s="37"/>
      <c r="G64" s="647"/>
      <c r="H64" s="648"/>
      <c r="I64" s="648"/>
      <c r="J64" s="648"/>
      <c r="K64" s="648"/>
      <c r="L64" s="648"/>
      <c r="M64" s="648"/>
      <c r="N64" s="648"/>
      <c r="O64" s="648"/>
      <c r="P64" s="648"/>
      <c r="Q64" s="648"/>
      <c r="R64" s="648"/>
      <c r="S64" s="648"/>
      <c r="T64" s="648"/>
      <c r="U64" s="648"/>
      <c r="V64" s="648"/>
      <c r="W64" s="648"/>
      <c r="X64" s="649"/>
      <c r="Y64" s="617"/>
      <c r="Z64" s="618"/>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9"/>
      <c r="AW64" s="36"/>
    </row>
    <row r="65" spans="1:49" x14ac:dyDescent="0.15">
      <c r="A65" s="36"/>
      <c r="B65" s="627"/>
      <c r="C65" s="628"/>
      <c r="D65" s="35"/>
      <c r="E65" s="35"/>
      <c r="F65" s="35"/>
      <c r="G65" s="650"/>
      <c r="H65" s="651"/>
      <c r="I65" s="651"/>
      <c r="J65" s="651"/>
      <c r="K65" s="651"/>
      <c r="L65" s="651"/>
      <c r="M65" s="651"/>
      <c r="N65" s="651"/>
      <c r="O65" s="651"/>
      <c r="P65" s="651"/>
      <c r="Q65" s="651"/>
      <c r="R65" s="651"/>
      <c r="S65" s="651"/>
      <c r="T65" s="651"/>
      <c r="U65" s="651"/>
      <c r="V65" s="651"/>
      <c r="W65" s="651"/>
      <c r="X65" s="652"/>
      <c r="Y65" s="620"/>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2"/>
      <c r="AW65" s="36"/>
    </row>
    <row r="66" spans="1:49"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ht="12" customHeight="1" x14ac:dyDescent="0.15">
      <c r="A68" s="653" t="s">
        <v>87</v>
      </c>
      <c r="B68" s="654"/>
      <c r="C68" s="654"/>
      <c r="D68" s="654"/>
      <c r="E68" s="654"/>
      <c r="F68" s="654"/>
      <c r="G68" s="654"/>
      <c r="H68" s="654"/>
      <c r="I68" s="654"/>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654"/>
      <c r="AO68" s="654"/>
      <c r="AP68" s="654"/>
      <c r="AQ68" s="654"/>
      <c r="AR68" s="654"/>
      <c r="AS68" s="654"/>
      <c r="AT68" s="654"/>
      <c r="AU68" s="654"/>
      <c r="AV68" s="654"/>
      <c r="AW68" s="655"/>
    </row>
    <row r="69" spans="1:49" ht="12" customHeight="1" x14ac:dyDescent="0.15">
      <c r="A69" s="656"/>
      <c r="B69" s="657"/>
      <c r="C69" s="657"/>
      <c r="D69" s="657"/>
      <c r="E69" s="657"/>
      <c r="F69" s="657"/>
      <c r="G69" s="657"/>
      <c r="H69" s="657"/>
      <c r="I69" s="657"/>
      <c r="J69" s="657"/>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7"/>
      <c r="AJ69" s="657"/>
      <c r="AK69" s="657"/>
      <c r="AL69" s="657"/>
      <c r="AM69" s="657"/>
      <c r="AN69" s="657"/>
      <c r="AO69" s="657"/>
      <c r="AP69" s="657"/>
      <c r="AQ69" s="657"/>
      <c r="AR69" s="657"/>
      <c r="AS69" s="657"/>
      <c r="AT69" s="657"/>
      <c r="AU69" s="657"/>
      <c r="AV69" s="657"/>
      <c r="AW69" s="658"/>
    </row>
    <row r="70" spans="1:49" x14ac:dyDescent="0.15">
      <c r="A70" s="361" t="str">
        <f>"【"&amp;製品カテゴリ&amp;"】"</f>
        <v>【測量機（自動視準・自動追尾機能付き高機能トータルステーション）】</v>
      </c>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
      <c r="Z70" s="36"/>
      <c r="AA70" s="36"/>
      <c r="AB70" s="36"/>
      <c r="AC70" s="36"/>
      <c r="AD70" s="36"/>
      <c r="AE70" s="36"/>
      <c r="AF70" s="36"/>
      <c r="AG70" s="36"/>
      <c r="AH70" s="36"/>
      <c r="AI70" s="36"/>
      <c r="AJ70" s="36"/>
      <c r="AK70" s="36"/>
      <c r="AL70" s="36"/>
      <c r="AM70" s="36"/>
      <c r="AN70" s="36"/>
      <c r="AO70" s="36"/>
      <c r="AP70" s="36"/>
      <c r="AQ70" s="36"/>
      <c r="AR70" s="36"/>
      <c r="AS70" s="385" t="s">
        <v>68</v>
      </c>
      <c r="AT70" s="385"/>
      <c r="AU70" s="385"/>
      <c r="AV70" s="385"/>
      <c r="AW70" s="385"/>
    </row>
    <row r="71" spans="1:49" x14ac:dyDescent="0.15">
      <c r="A71" s="358"/>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6"/>
      <c r="Z71" s="36"/>
      <c r="AA71" s="36"/>
      <c r="AB71" s="36"/>
      <c r="AC71" s="36"/>
      <c r="AD71" s="36"/>
      <c r="AE71" s="36"/>
      <c r="AF71" s="36"/>
      <c r="AG71" s="36"/>
      <c r="AH71" s="36"/>
      <c r="AI71" s="36"/>
      <c r="AJ71" s="36"/>
      <c r="AK71" s="36"/>
      <c r="AL71" s="36"/>
      <c r="AM71" s="36"/>
      <c r="AN71" s="36"/>
      <c r="AO71" s="36"/>
      <c r="AP71" s="36"/>
      <c r="AQ71" s="36"/>
      <c r="AR71" s="36"/>
      <c r="AS71" s="386"/>
      <c r="AT71" s="386"/>
      <c r="AU71" s="386"/>
      <c r="AV71" s="386"/>
      <c r="AW71" s="386"/>
    </row>
    <row r="72" spans="1:49" x14ac:dyDescent="0.15">
      <c r="A72" s="36"/>
      <c r="B72" s="358" t="s">
        <v>109</v>
      </c>
      <c r="C72" s="358"/>
      <c r="D72" s="358"/>
      <c r="E72" s="358"/>
      <c r="F72" s="358"/>
      <c r="G72" s="358"/>
      <c r="H72" s="358"/>
      <c r="I72" s="358"/>
      <c r="J72" s="358"/>
      <c r="K72" s="358"/>
      <c r="L72" s="358"/>
      <c r="M72" s="358"/>
      <c r="N72" s="358"/>
      <c r="O72" s="358"/>
      <c r="P72" s="358"/>
      <c r="Q72" s="358"/>
      <c r="R72" s="358"/>
      <c r="S72" s="358"/>
      <c r="T72" s="358"/>
      <c r="U72" s="358"/>
      <c r="V72" s="358"/>
      <c r="W72" s="358"/>
      <c r="X72" s="358"/>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x14ac:dyDescent="0.15">
      <c r="A73" s="36"/>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x14ac:dyDescent="0.15">
      <c r="A74" s="36"/>
      <c r="B74" s="358" t="s">
        <v>110</v>
      </c>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6"/>
    </row>
    <row r="75" spans="1:49" x14ac:dyDescent="0.15">
      <c r="A75" s="36"/>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6"/>
    </row>
    <row r="76" spans="1:49" x14ac:dyDescent="0.15">
      <c r="A76" s="36"/>
      <c r="B76" s="358" t="s">
        <v>111</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6"/>
    </row>
    <row r="77" spans="1:49" x14ac:dyDescent="0.15">
      <c r="A77" s="36"/>
      <c r="B77" s="358"/>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6"/>
    </row>
    <row r="78" spans="1:49" x14ac:dyDescent="0.15">
      <c r="A78" s="36"/>
      <c r="B78" s="358" t="s">
        <v>112</v>
      </c>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6"/>
    </row>
    <row r="79" spans="1:49" x14ac:dyDescent="0.15">
      <c r="A79" s="36"/>
      <c r="B79" s="359"/>
      <c r="C79" s="359"/>
      <c r="D79" s="359"/>
      <c r="E79" s="359"/>
      <c r="F79" s="359"/>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6"/>
    </row>
    <row r="80" spans="1:49" x14ac:dyDescent="0.15">
      <c r="A80" s="36"/>
      <c r="B80" s="659" t="s">
        <v>73</v>
      </c>
      <c r="C80" s="659"/>
      <c r="D80" s="422" t="s">
        <v>89</v>
      </c>
      <c r="E80" s="423"/>
      <c r="F80" s="455"/>
      <c r="G80" s="659" t="s">
        <v>90</v>
      </c>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36"/>
      <c r="AM80" s="36"/>
      <c r="AN80" s="36"/>
      <c r="AO80" s="36"/>
      <c r="AP80" s="36"/>
      <c r="AQ80" s="36"/>
      <c r="AR80" s="36"/>
      <c r="AS80" s="36"/>
      <c r="AT80" s="36"/>
      <c r="AU80" s="36"/>
      <c r="AV80" s="36"/>
      <c r="AW80" s="36"/>
    </row>
    <row r="81" spans="1:49" x14ac:dyDescent="0.15">
      <c r="A81" s="36"/>
      <c r="B81" s="659"/>
      <c r="C81" s="659"/>
      <c r="D81" s="426"/>
      <c r="E81" s="427"/>
      <c r="F81" s="456"/>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659"/>
      <c r="AI81" s="659"/>
      <c r="AJ81" s="659"/>
      <c r="AK81" s="659"/>
      <c r="AL81" s="36"/>
      <c r="AM81" s="36"/>
      <c r="AN81" s="36"/>
      <c r="AO81" s="36"/>
      <c r="AP81" s="36"/>
      <c r="AQ81" s="36"/>
      <c r="AR81" s="36"/>
      <c r="AS81" s="36"/>
      <c r="AT81" s="36"/>
      <c r="AU81" s="36"/>
      <c r="AV81" s="36"/>
      <c r="AW81" s="36"/>
    </row>
    <row r="82" spans="1:49" ht="12" customHeight="1" x14ac:dyDescent="0.15">
      <c r="A82" s="36"/>
      <c r="B82" s="625">
        <v>1</v>
      </c>
      <c r="C82" s="626"/>
      <c r="D82" s="37"/>
      <c r="E82" s="37"/>
      <c r="F82" s="37"/>
      <c r="G82" s="660" t="s">
        <v>113</v>
      </c>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36"/>
      <c r="AM82" s="36"/>
      <c r="AN82" s="36"/>
      <c r="AO82" s="36"/>
      <c r="AP82" s="36"/>
      <c r="AQ82" s="36"/>
      <c r="AR82" s="36"/>
      <c r="AS82" s="36"/>
      <c r="AT82" s="36"/>
      <c r="AU82" s="36"/>
      <c r="AV82" s="36"/>
      <c r="AW82" s="36"/>
    </row>
    <row r="83" spans="1:49" x14ac:dyDescent="0.15">
      <c r="A83" s="36"/>
      <c r="B83" s="625"/>
      <c r="C83" s="626"/>
      <c r="D83" s="37"/>
      <c r="E83" s="37"/>
      <c r="F83" s="37"/>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36"/>
      <c r="AM83" s="36"/>
      <c r="AN83" s="36"/>
      <c r="AO83" s="36"/>
      <c r="AP83" s="36"/>
      <c r="AQ83" s="36"/>
      <c r="AR83" s="36"/>
      <c r="AS83" s="36"/>
      <c r="AT83" s="36"/>
      <c r="AU83" s="36"/>
      <c r="AV83" s="36"/>
      <c r="AW83" s="36"/>
    </row>
    <row r="84" spans="1:49" x14ac:dyDescent="0.15">
      <c r="A84" s="36"/>
      <c r="B84" s="627"/>
      <c r="C84" s="628"/>
      <c r="D84" s="35"/>
      <c r="E84" s="35"/>
      <c r="F84" s="35"/>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36"/>
      <c r="AM84" s="36"/>
      <c r="AN84" s="36"/>
      <c r="AO84" s="36"/>
      <c r="AP84" s="36"/>
      <c r="AQ84" s="36"/>
      <c r="AR84" s="36"/>
      <c r="AS84" s="36"/>
      <c r="AT84" s="36"/>
      <c r="AU84" s="36"/>
      <c r="AV84" s="36"/>
      <c r="AW84" s="36"/>
    </row>
    <row r="85" spans="1:49" x14ac:dyDescent="0.15">
      <c r="A85" s="36"/>
      <c r="B85" s="623">
        <v>2</v>
      </c>
      <c r="C85" s="624"/>
      <c r="D85" s="34"/>
      <c r="E85" s="34"/>
      <c r="F85" s="34"/>
      <c r="G85" s="660" t="s">
        <v>114</v>
      </c>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36"/>
      <c r="AM85" s="36"/>
      <c r="AN85" s="36"/>
      <c r="AO85" s="36"/>
      <c r="AP85" s="36"/>
      <c r="AQ85" s="36"/>
      <c r="AR85" s="36"/>
      <c r="AS85" s="36"/>
      <c r="AT85" s="36"/>
      <c r="AU85" s="36"/>
      <c r="AV85" s="36"/>
      <c r="AW85" s="36"/>
    </row>
    <row r="86" spans="1:49" x14ac:dyDescent="0.15">
      <c r="A86" s="36"/>
      <c r="B86" s="625"/>
      <c r="C86" s="626"/>
      <c r="D86" s="37"/>
      <c r="E86" s="37"/>
      <c r="F86" s="37"/>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36"/>
      <c r="AM86" s="36"/>
      <c r="AN86" s="36"/>
      <c r="AO86" s="36"/>
      <c r="AP86" s="36"/>
      <c r="AQ86" s="36"/>
      <c r="AR86" s="36"/>
      <c r="AS86" s="36"/>
      <c r="AT86" s="36"/>
      <c r="AU86" s="36"/>
      <c r="AV86" s="36"/>
      <c r="AW86" s="36"/>
    </row>
    <row r="87" spans="1:49" x14ac:dyDescent="0.15">
      <c r="A87" s="36"/>
      <c r="B87" s="627"/>
      <c r="C87" s="628"/>
      <c r="D87" s="35"/>
      <c r="E87" s="35"/>
      <c r="F87" s="35"/>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36"/>
      <c r="AM87" s="36"/>
      <c r="AN87" s="36"/>
      <c r="AO87" s="36"/>
      <c r="AP87" s="36"/>
      <c r="AQ87" s="36"/>
      <c r="AR87" s="36"/>
      <c r="AS87" s="36"/>
      <c r="AT87" s="36"/>
      <c r="AU87" s="36"/>
      <c r="AV87" s="36"/>
      <c r="AW87" s="36"/>
    </row>
    <row r="88" spans="1:49" x14ac:dyDescent="0.15">
      <c r="A88" s="36"/>
      <c r="B88" s="623">
        <v>3</v>
      </c>
      <c r="C88" s="624"/>
      <c r="D88" s="34"/>
      <c r="E88" s="34"/>
      <c r="F88" s="34"/>
      <c r="G88" s="660" t="s">
        <v>115</v>
      </c>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36"/>
      <c r="AM88" s="36"/>
      <c r="AN88" s="36"/>
      <c r="AO88" s="36"/>
      <c r="AP88" s="36"/>
      <c r="AQ88" s="36"/>
      <c r="AR88" s="36"/>
      <c r="AS88" s="36"/>
      <c r="AT88" s="36"/>
      <c r="AU88" s="36"/>
      <c r="AV88" s="36"/>
      <c r="AW88" s="36"/>
    </row>
    <row r="89" spans="1:49" x14ac:dyDescent="0.15">
      <c r="A89" s="36"/>
      <c r="B89" s="625"/>
      <c r="C89" s="626"/>
      <c r="D89" s="37"/>
      <c r="E89" s="37"/>
      <c r="F89" s="37"/>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36"/>
      <c r="AM89" s="36"/>
      <c r="AN89" s="36"/>
      <c r="AO89" s="36"/>
      <c r="AP89" s="36"/>
      <c r="AQ89" s="36"/>
      <c r="AR89" s="36"/>
      <c r="AS89" s="36"/>
      <c r="AT89" s="36"/>
      <c r="AU89" s="36"/>
      <c r="AV89" s="36"/>
      <c r="AW89" s="36"/>
    </row>
    <row r="90" spans="1:49" x14ac:dyDescent="0.15">
      <c r="A90" s="36"/>
      <c r="B90" s="627"/>
      <c r="C90" s="628"/>
      <c r="D90" s="35"/>
      <c r="E90" s="35"/>
      <c r="F90" s="35"/>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36"/>
      <c r="AM90" s="36"/>
      <c r="AN90" s="36"/>
      <c r="AO90" s="36"/>
      <c r="AP90" s="36"/>
      <c r="AQ90" s="36"/>
      <c r="AR90" s="36"/>
      <c r="AS90" s="36"/>
      <c r="AT90" s="36"/>
      <c r="AU90" s="36"/>
      <c r="AV90" s="36"/>
      <c r="AW90" s="36"/>
    </row>
    <row r="91" spans="1:49" x14ac:dyDescent="0.15">
      <c r="A91" s="36"/>
      <c r="B91" s="625">
        <v>4</v>
      </c>
      <c r="C91" s="626"/>
      <c r="D91" s="37"/>
      <c r="E91" s="37"/>
      <c r="F91" s="37"/>
      <c r="G91" s="661" t="s">
        <v>116</v>
      </c>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c r="AG91" s="661"/>
      <c r="AH91" s="661"/>
      <c r="AI91" s="661"/>
      <c r="AJ91" s="661"/>
      <c r="AK91" s="661"/>
      <c r="AL91" s="36"/>
      <c r="AM91" s="36"/>
      <c r="AN91" s="36"/>
      <c r="AO91" s="36"/>
      <c r="AP91" s="36"/>
      <c r="AQ91" s="36"/>
      <c r="AR91" s="36"/>
      <c r="AS91" s="36"/>
      <c r="AT91" s="36"/>
      <c r="AU91" s="36"/>
      <c r="AV91" s="36"/>
      <c r="AW91" s="36"/>
    </row>
    <row r="92" spans="1:49" x14ac:dyDescent="0.15">
      <c r="A92" s="36"/>
      <c r="B92" s="625"/>
      <c r="C92" s="626"/>
      <c r="D92" s="37"/>
      <c r="E92" s="37"/>
      <c r="F92" s="37"/>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36"/>
      <c r="AM92" s="36"/>
      <c r="AN92" s="36"/>
      <c r="AO92" s="36"/>
      <c r="AP92" s="36"/>
      <c r="AQ92" s="36"/>
      <c r="AR92" s="36"/>
      <c r="AS92" s="36"/>
      <c r="AT92" s="36"/>
      <c r="AU92" s="36"/>
      <c r="AV92" s="36"/>
      <c r="AW92" s="36"/>
    </row>
    <row r="93" spans="1:49" x14ac:dyDescent="0.15">
      <c r="A93" s="36"/>
      <c r="B93" s="627"/>
      <c r="C93" s="628"/>
      <c r="D93" s="35"/>
      <c r="E93" s="35"/>
      <c r="F93" s="35"/>
      <c r="G93" s="661"/>
      <c r="H93" s="661"/>
      <c r="I93" s="661"/>
      <c r="J93" s="661"/>
      <c r="K93" s="661"/>
      <c r="L93" s="661"/>
      <c r="M93" s="661"/>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61"/>
      <c r="AK93" s="661"/>
      <c r="AL93" s="36"/>
      <c r="AM93" s="36"/>
      <c r="AN93" s="36"/>
      <c r="AO93" s="36"/>
      <c r="AP93" s="36"/>
      <c r="AQ93" s="36"/>
      <c r="AR93" s="36"/>
      <c r="AS93" s="36"/>
      <c r="AT93" s="36"/>
      <c r="AU93" s="36"/>
      <c r="AV93" s="36"/>
      <c r="AW93" s="36"/>
    </row>
    <row r="94" spans="1:49" x14ac:dyDescent="0.15">
      <c r="A94" s="36"/>
      <c r="B94" s="623">
        <v>5</v>
      </c>
      <c r="C94" s="624"/>
      <c r="D94" s="34"/>
      <c r="E94" s="34"/>
      <c r="F94" s="34"/>
      <c r="G94" s="661" t="s">
        <v>117</v>
      </c>
      <c r="H94" s="661"/>
      <c r="I94" s="661"/>
      <c r="J94" s="661"/>
      <c r="K94" s="661"/>
      <c r="L94" s="661"/>
      <c r="M94" s="661"/>
      <c r="N94" s="661"/>
      <c r="O94" s="661"/>
      <c r="P94" s="661"/>
      <c r="Q94" s="661"/>
      <c r="R94" s="661"/>
      <c r="S94" s="661"/>
      <c r="T94" s="661"/>
      <c r="U94" s="661"/>
      <c r="V94" s="661"/>
      <c r="W94" s="661"/>
      <c r="X94" s="661"/>
      <c r="Y94" s="661"/>
      <c r="Z94" s="661"/>
      <c r="AA94" s="661"/>
      <c r="AB94" s="661"/>
      <c r="AC94" s="661"/>
      <c r="AD94" s="661"/>
      <c r="AE94" s="661"/>
      <c r="AF94" s="661"/>
      <c r="AG94" s="661"/>
      <c r="AH94" s="661"/>
      <c r="AI94" s="661"/>
      <c r="AJ94" s="661"/>
      <c r="AK94" s="661"/>
      <c r="AL94" s="36"/>
      <c r="AM94" s="36"/>
      <c r="AN94" s="36"/>
      <c r="AO94" s="36"/>
      <c r="AP94" s="36"/>
      <c r="AQ94" s="36"/>
      <c r="AR94" s="36"/>
      <c r="AS94" s="36"/>
      <c r="AT94" s="36"/>
      <c r="AU94" s="36"/>
      <c r="AV94" s="36"/>
      <c r="AW94" s="36"/>
    </row>
    <row r="95" spans="1:49" x14ac:dyDescent="0.15">
      <c r="A95" s="36"/>
      <c r="B95" s="625"/>
      <c r="C95" s="626"/>
      <c r="D95" s="37"/>
      <c r="E95" s="37"/>
      <c r="F95" s="37"/>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1"/>
      <c r="AF95" s="661"/>
      <c r="AG95" s="661"/>
      <c r="AH95" s="661"/>
      <c r="AI95" s="661"/>
      <c r="AJ95" s="661"/>
      <c r="AK95" s="661"/>
      <c r="AL95" s="36"/>
      <c r="AM95" s="36"/>
      <c r="AN95" s="36"/>
      <c r="AO95" s="36"/>
      <c r="AP95" s="36"/>
      <c r="AQ95" s="36"/>
      <c r="AR95" s="36"/>
      <c r="AS95" s="36"/>
      <c r="AT95" s="36"/>
      <c r="AU95" s="36"/>
      <c r="AV95" s="36"/>
      <c r="AW95" s="36"/>
    </row>
    <row r="96" spans="1:49" x14ac:dyDescent="0.15">
      <c r="A96" s="36"/>
      <c r="B96" s="627"/>
      <c r="C96" s="628"/>
      <c r="D96" s="35"/>
      <c r="E96" s="35"/>
      <c r="F96" s="35"/>
      <c r="G96" s="661"/>
      <c r="H96" s="661"/>
      <c r="I96" s="661"/>
      <c r="J96" s="661"/>
      <c r="K96" s="661"/>
      <c r="L96" s="661"/>
      <c r="M96" s="661"/>
      <c r="N96" s="661"/>
      <c r="O96" s="661"/>
      <c r="P96" s="661"/>
      <c r="Q96" s="661"/>
      <c r="R96" s="661"/>
      <c r="S96" s="661"/>
      <c r="T96" s="661"/>
      <c r="U96" s="661"/>
      <c r="V96" s="661"/>
      <c r="W96" s="661"/>
      <c r="X96" s="661"/>
      <c r="Y96" s="661"/>
      <c r="Z96" s="661"/>
      <c r="AA96" s="661"/>
      <c r="AB96" s="661"/>
      <c r="AC96" s="661"/>
      <c r="AD96" s="661"/>
      <c r="AE96" s="661"/>
      <c r="AF96" s="661"/>
      <c r="AG96" s="661"/>
      <c r="AH96" s="661"/>
      <c r="AI96" s="661"/>
      <c r="AJ96" s="661"/>
      <c r="AK96" s="661"/>
      <c r="AL96" s="36"/>
      <c r="AM96" s="36"/>
      <c r="AN96" s="36"/>
      <c r="AO96" s="36"/>
      <c r="AP96" s="36"/>
      <c r="AQ96" s="36"/>
      <c r="AR96" s="36"/>
      <c r="AS96" s="36"/>
      <c r="AT96" s="36"/>
      <c r="AU96" s="36"/>
      <c r="AV96" s="36"/>
      <c r="AW96" s="36"/>
    </row>
    <row r="97" spans="1:49" x14ac:dyDescent="0.15">
      <c r="A97" s="36"/>
      <c r="B97" s="623">
        <v>6</v>
      </c>
      <c r="C97" s="624"/>
      <c r="D97" s="34"/>
      <c r="E97" s="34"/>
      <c r="F97" s="34"/>
      <c r="G97" s="661" t="s">
        <v>118</v>
      </c>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36"/>
      <c r="AM97" s="36"/>
      <c r="AN97" s="36"/>
      <c r="AO97" s="36"/>
      <c r="AP97" s="36"/>
      <c r="AQ97" s="36"/>
      <c r="AR97" s="36"/>
      <c r="AS97" s="36"/>
      <c r="AT97" s="36"/>
      <c r="AU97" s="36"/>
      <c r="AV97" s="36"/>
      <c r="AW97" s="36"/>
    </row>
    <row r="98" spans="1:49" x14ac:dyDescent="0.15">
      <c r="A98" s="36"/>
      <c r="B98" s="625"/>
      <c r="C98" s="626"/>
      <c r="D98" s="37"/>
      <c r="E98" s="37"/>
      <c r="F98" s="37"/>
      <c r="G98" s="661"/>
      <c r="H98" s="661"/>
      <c r="I98" s="661"/>
      <c r="J98" s="661"/>
      <c r="K98" s="661"/>
      <c r="L98" s="661"/>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61"/>
      <c r="AL98" s="36"/>
      <c r="AM98" s="36"/>
      <c r="AN98" s="36"/>
      <c r="AO98" s="36"/>
      <c r="AP98" s="36"/>
      <c r="AQ98" s="36"/>
      <c r="AR98" s="36"/>
      <c r="AS98" s="36"/>
      <c r="AT98" s="36"/>
      <c r="AU98" s="36"/>
      <c r="AV98" s="36"/>
      <c r="AW98" s="36"/>
    </row>
    <row r="99" spans="1:49" x14ac:dyDescent="0.15">
      <c r="A99" s="36"/>
      <c r="B99" s="627"/>
      <c r="C99" s="628"/>
      <c r="D99" s="35"/>
      <c r="E99" s="35"/>
      <c r="F99" s="35"/>
      <c r="G99" s="661"/>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36"/>
      <c r="AM99" s="36"/>
      <c r="AN99" s="36"/>
      <c r="AO99" s="36"/>
      <c r="AP99" s="36"/>
      <c r="AQ99" s="36"/>
      <c r="AR99" s="36"/>
      <c r="AS99" s="36"/>
      <c r="AT99" s="36"/>
      <c r="AU99" s="36"/>
      <c r="AV99" s="36"/>
      <c r="AW99" s="36"/>
    </row>
    <row r="100" spans="1:49" x14ac:dyDescent="0.15">
      <c r="A100" s="36"/>
      <c r="B100" s="623">
        <v>7</v>
      </c>
      <c r="C100" s="624"/>
      <c r="D100" s="34"/>
      <c r="E100" s="34"/>
      <c r="F100" s="34"/>
      <c r="G100" s="660" t="s">
        <v>119</v>
      </c>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36"/>
      <c r="AM100" s="36"/>
      <c r="AN100" s="36"/>
      <c r="AO100" s="36"/>
      <c r="AP100" s="36"/>
      <c r="AQ100" s="36"/>
      <c r="AR100" s="36"/>
      <c r="AS100" s="36"/>
      <c r="AT100" s="36"/>
      <c r="AU100" s="36"/>
      <c r="AV100" s="36"/>
      <c r="AW100" s="36"/>
    </row>
    <row r="101" spans="1:49" x14ac:dyDescent="0.15">
      <c r="A101" s="36"/>
      <c r="B101" s="625"/>
      <c r="C101" s="626"/>
      <c r="D101" s="37"/>
      <c r="E101" s="37"/>
      <c r="F101" s="37"/>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36"/>
      <c r="AM101" s="36"/>
      <c r="AN101" s="36"/>
      <c r="AO101" s="36"/>
      <c r="AP101" s="36"/>
      <c r="AQ101" s="36"/>
      <c r="AR101" s="36"/>
      <c r="AS101" s="36"/>
      <c r="AT101" s="36"/>
      <c r="AU101" s="36"/>
      <c r="AV101" s="36"/>
      <c r="AW101" s="36"/>
    </row>
    <row r="102" spans="1:49" x14ac:dyDescent="0.15">
      <c r="A102" s="36"/>
      <c r="B102" s="627"/>
      <c r="C102" s="628"/>
      <c r="D102" s="35"/>
      <c r="E102" s="35"/>
      <c r="F102" s="35"/>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36"/>
      <c r="AM102" s="36"/>
      <c r="AN102" s="36"/>
      <c r="AO102" s="36"/>
      <c r="AP102" s="36"/>
      <c r="AQ102" s="36"/>
      <c r="AR102" s="36"/>
      <c r="AS102" s="36"/>
      <c r="AT102" s="36"/>
      <c r="AU102" s="36"/>
      <c r="AV102" s="36"/>
      <c r="AW102" s="36"/>
    </row>
    <row r="103" spans="1:49" x14ac:dyDescent="0.15">
      <c r="A103" s="36"/>
      <c r="B103" s="37"/>
      <c r="C103" s="37"/>
      <c r="D103" s="37"/>
      <c r="E103" s="37"/>
      <c r="F103" s="37"/>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6"/>
    </row>
    <row r="104" spans="1:49"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row>
    <row r="105" spans="1:49"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row>
    <row r="106" spans="1:49"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row>
    <row r="107" spans="1:49" x14ac:dyDescent="0.1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row>
    <row r="108" spans="1:49" x14ac:dyDescent="0.1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row>
    <row r="109" spans="1:49" x14ac:dyDescent="0.1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row>
    <row r="110" spans="1:49"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row>
    <row r="111" spans="1:49"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row>
    <row r="112" spans="1:49"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row>
    <row r="113" spans="1:49"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row>
  </sheetData>
  <sheetProtection algorithmName="SHA-512" hashValue="BoUW5Pdxzoopjb2LDqFhVDfenMz5Q7ov6SDl6jbVeWQbiSaxQvmw0XqI+sFkoGMFQzrL8odtYyMyoV3qp7ZwJw==" saltValue="gHB1lwUEgD9LfJXw+CDaxA=="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62" customWidth="1"/>
    <col min="2" max="2" width="9" style="62"/>
    <col min="3" max="3" width="14.625" style="62" bestFit="1" customWidth="1"/>
    <col min="4" max="4" width="74.375" style="62" customWidth="1"/>
    <col min="5" max="5" width="17.875" style="62" customWidth="1"/>
    <col min="6" max="16384" width="9" style="62"/>
  </cols>
  <sheetData>
    <row r="1" spans="1:5" x14ac:dyDescent="0.15">
      <c r="A1" s="62" t="s">
        <v>120</v>
      </c>
    </row>
    <row r="2" spans="1:5" x14ac:dyDescent="0.15">
      <c r="B2" s="85" t="s">
        <v>121</v>
      </c>
      <c r="C2" s="85" t="s">
        <v>122</v>
      </c>
      <c r="D2" s="85" t="s">
        <v>123</v>
      </c>
      <c r="E2" s="85" t="s">
        <v>124</v>
      </c>
    </row>
    <row r="3" spans="1:5" x14ac:dyDescent="0.15">
      <c r="B3" s="83" t="s">
        <v>125</v>
      </c>
      <c r="C3" s="84" t="s">
        <v>126</v>
      </c>
      <c r="D3" s="83" t="s">
        <v>127</v>
      </c>
      <c r="E3" s="83"/>
    </row>
    <row r="4" spans="1:5" ht="96" customHeight="1" x14ac:dyDescent="0.15">
      <c r="B4" s="83" t="s">
        <v>128</v>
      </c>
      <c r="C4" s="84">
        <v>45375</v>
      </c>
      <c r="D4" s="86" t="s">
        <v>129</v>
      </c>
      <c r="E4" s="83"/>
    </row>
    <row r="5" spans="1:5" x14ac:dyDescent="0.15">
      <c r="B5" s="83" t="s">
        <v>130</v>
      </c>
      <c r="C5" s="84">
        <v>45376</v>
      </c>
      <c r="D5" s="83" t="s">
        <v>131</v>
      </c>
      <c r="E5" s="83"/>
    </row>
    <row r="6" spans="1:5" ht="294" x14ac:dyDescent="0.15">
      <c r="B6" s="83" t="s">
        <v>132</v>
      </c>
      <c r="C6" s="84" t="s">
        <v>133</v>
      </c>
      <c r="D6" s="120" t="s">
        <v>134</v>
      </c>
      <c r="E6" s="83"/>
    </row>
    <row r="7" spans="1:5" ht="45" x14ac:dyDescent="0.15">
      <c r="B7" s="83" t="s">
        <v>132</v>
      </c>
      <c r="C7" s="84">
        <v>45394</v>
      </c>
      <c r="D7" s="122" t="s">
        <v>135</v>
      </c>
      <c r="E7" s="83"/>
    </row>
    <row r="8" spans="1:5" x14ac:dyDescent="0.15">
      <c r="B8" s="83" t="s">
        <v>235</v>
      </c>
      <c r="C8" s="84">
        <v>45413</v>
      </c>
      <c r="D8" s="122" t="s">
        <v>236</v>
      </c>
      <c r="E8" s="83"/>
    </row>
    <row r="9" spans="1:5" ht="45" x14ac:dyDescent="0.15">
      <c r="B9" s="293" t="s">
        <v>370</v>
      </c>
      <c r="C9" s="294">
        <v>45468</v>
      </c>
      <c r="D9" s="295" t="s">
        <v>371</v>
      </c>
      <c r="E9" s="296" t="s">
        <v>372</v>
      </c>
    </row>
    <row r="10" spans="1:5" x14ac:dyDescent="0.15">
      <c r="B10" s="83" t="s">
        <v>377</v>
      </c>
      <c r="C10" s="84">
        <v>45484</v>
      </c>
      <c r="D10" s="122" t="s">
        <v>378</v>
      </c>
      <c r="E10" s="83"/>
    </row>
    <row r="11" spans="1:5" ht="22.5" x14ac:dyDescent="0.15">
      <c r="B11" s="83" t="s">
        <v>379</v>
      </c>
      <c r="C11" s="84">
        <v>45532</v>
      </c>
      <c r="D11" s="122" t="s">
        <v>380</v>
      </c>
      <c r="E11" s="83"/>
    </row>
    <row r="12" spans="1:5" x14ac:dyDescent="0.15">
      <c r="B12" s="83" t="s">
        <v>387</v>
      </c>
      <c r="C12" s="84">
        <v>45555</v>
      </c>
      <c r="D12" s="305" t="s">
        <v>388</v>
      </c>
      <c r="E12" s="83"/>
    </row>
    <row r="13" spans="1:5" x14ac:dyDescent="0.15">
      <c r="B13" s="83"/>
      <c r="C13" s="83"/>
      <c r="D13" s="83"/>
      <c r="E13" s="83"/>
    </row>
    <row r="14" spans="1:5" x14ac:dyDescent="0.15">
      <c r="B14" s="83"/>
      <c r="C14" s="83"/>
      <c r="D14" s="83"/>
      <c r="E14" s="83"/>
    </row>
    <row r="15" spans="1:5" x14ac:dyDescent="0.15">
      <c r="B15" s="83"/>
      <c r="C15" s="83"/>
      <c r="D15" s="83"/>
      <c r="E15" s="83"/>
    </row>
    <row r="16" spans="1:5" x14ac:dyDescent="0.15">
      <c r="B16" s="83"/>
      <c r="C16" s="83"/>
      <c r="D16" s="83"/>
      <c r="E16" s="83"/>
    </row>
    <row r="17" spans="2:5" x14ac:dyDescent="0.15">
      <c r="B17" s="83"/>
      <c r="C17" s="83"/>
      <c r="D17" s="83"/>
      <c r="E17" s="83"/>
    </row>
    <row r="18" spans="2:5" x14ac:dyDescent="0.15">
      <c r="B18" s="83"/>
      <c r="C18" s="83"/>
      <c r="D18" s="83"/>
      <c r="E18" s="83"/>
    </row>
  </sheetData>
  <sheetProtection algorithmName="SHA-512" hashValue="3dflDbLNpg5nFovvsX5kR4ejHMiNRNpeijHYqU8HgueIkF6mToCWEd/+peetbdKybFQz5D21+7OqZbrVclaX2A==" saltValue="Bxc7k+PQyI+UReeC/LnI2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7"/>
  <sheetViews>
    <sheetView zoomScaleNormal="100" workbookViewId="0"/>
  </sheetViews>
  <sheetFormatPr defaultColWidth="9" defaultRowHeight="13.5" x14ac:dyDescent="0.15"/>
  <cols>
    <col min="1" max="1" width="7.375" style="62" customWidth="1"/>
    <col min="2" max="2" width="19" style="62" customWidth="1"/>
    <col min="3" max="3" width="25" style="62" customWidth="1"/>
    <col min="4" max="4" width="14.875" style="62" customWidth="1"/>
    <col min="5" max="5" width="19" style="62" customWidth="1"/>
    <col min="6" max="6" width="13.875" style="62" customWidth="1"/>
    <col min="7" max="7" width="19" style="62" customWidth="1"/>
    <col min="8" max="8" width="15" style="62" customWidth="1"/>
    <col min="9" max="16384" width="9" style="62"/>
  </cols>
  <sheetData>
    <row r="1" spans="1:9" x14ac:dyDescent="0.15">
      <c r="H1" s="144" t="str">
        <f>'①製品審査申請書（工業会用）'!J1</f>
        <v>Ver.3.4</v>
      </c>
    </row>
    <row r="2" spans="1:9" x14ac:dyDescent="0.15">
      <c r="A2" s="663" t="s">
        <v>136</v>
      </c>
      <c r="B2" s="663"/>
      <c r="C2" s="83" t="str">
        <f>"CT0014-"&amp;E4</f>
        <v>CT0014-</v>
      </c>
    </row>
    <row r="3" spans="1:9" x14ac:dyDescent="0.15">
      <c r="G3" s="62" t="s">
        <v>238</v>
      </c>
    </row>
    <row r="4" spans="1:9" x14ac:dyDescent="0.15">
      <c r="B4" s="85" t="s">
        <v>4</v>
      </c>
      <c r="C4" s="88" t="str">
        <f>製品カテゴリ</f>
        <v>測量機（自動視準・自動追尾機能付き高機能トータルステーション）</v>
      </c>
      <c r="D4" s="89" t="s">
        <v>137</v>
      </c>
      <c r="E4" s="138" t="s">
        <v>237</v>
      </c>
      <c r="G4" s="662" t="str">
        <f>省力化機能パラメータ</f>
        <v>自動追尾機能：　【　　】　</v>
      </c>
      <c r="H4" s="662"/>
      <c r="I4" s="662"/>
    </row>
    <row r="5" spans="1:9" x14ac:dyDescent="0.15">
      <c r="B5" s="85" t="s">
        <v>138</v>
      </c>
      <c r="C5" s="83">
        <f>製造事業者名</f>
        <v>0</v>
      </c>
      <c r="E5" s="137" t="str">
        <f>IF(LEN(E4)=6,"OK","入力してください")</f>
        <v>入力してください</v>
      </c>
      <c r="G5" s="662"/>
      <c r="H5" s="662"/>
      <c r="I5" s="662"/>
    </row>
    <row r="6" spans="1:9" x14ac:dyDescent="0.15">
      <c r="B6" s="85" t="s">
        <v>139</v>
      </c>
      <c r="C6" s="83">
        <f>型番</f>
        <v>0</v>
      </c>
      <c r="G6" s="662"/>
      <c r="H6" s="662"/>
      <c r="I6" s="662"/>
    </row>
    <row r="7" spans="1:9" x14ac:dyDescent="0.15">
      <c r="B7" s="85" t="s">
        <v>140</v>
      </c>
      <c r="C7" s="90">
        <f>機器費用</f>
        <v>0</v>
      </c>
      <c r="D7" s="62" t="s">
        <v>141</v>
      </c>
      <c r="G7" s="662"/>
      <c r="H7" s="662"/>
      <c r="I7" s="662"/>
    </row>
    <row r="8" spans="1:9" x14ac:dyDescent="0.15">
      <c r="B8" s="85" t="s">
        <v>15</v>
      </c>
      <c r="C8" s="90">
        <f>設定費用</f>
        <v>0</v>
      </c>
      <c r="D8" s="62" t="s">
        <v>141</v>
      </c>
      <c r="G8" s="662"/>
      <c r="H8" s="662"/>
      <c r="I8" s="662"/>
    </row>
    <row r="9" spans="1:9" ht="14.25" thickBot="1" x14ac:dyDescent="0.2"/>
    <row r="10" spans="1:9" x14ac:dyDescent="0.15">
      <c r="D10" s="87" t="s">
        <v>142</v>
      </c>
      <c r="E10" s="89"/>
      <c r="F10" s="87" t="s">
        <v>143</v>
      </c>
      <c r="G10" s="127"/>
      <c r="H10" s="136" t="s">
        <v>234</v>
      </c>
    </row>
    <row r="11" spans="1:9" x14ac:dyDescent="0.15">
      <c r="B11" s="91" t="s">
        <v>5</v>
      </c>
      <c r="C11" s="92" t="s">
        <v>144</v>
      </c>
      <c r="D11" s="91" t="s">
        <v>142</v>
      </c>
      <c r="E11" s="93" t="s">
        <v>145</v>
      </c>
      <c r="F11" s="91" t="s">
        <v>146</v>
      </c>
      <c r="G11" s="128" t="s">
        <v>145</v>
      </c>
      <c r="H11" s="132"/>
    </row>
    <row r="12" spans="1:9" x14ac:dyDescent="0.15">
      <c r="B12" s="94" t="s">
        <v>161</v>
      </c>
      <c r="C12" s="95" t="s">
        <v>148</v>
      </c>
      <c r="D12" s="96">
        <f>省指_建設小</f>
        <v>0.7800936768149882</v>
      </c>
      <c r="E12" s="97" t="str">
        <f>審1_建設小</f>
        <v>適格</v>
      </c>
      <c r="F12" s="96">
        <f>投資_建設小</f>
        <v>0</v>
      </c>
      <c r="G12" s="129" t="str">
        <f>審2_建設小</f>
        <v>不適</v>
      </c>
      <c r="H12" s="133" t="str">
        <f t="shared" ref="H12:H17" si="0">IF(COUNTIF(D12:G12,"適格")=2,"適格",IF(COUNTIF(D12:G12,"適格")=0,"未","不適"))</f>
        <v>不適</v>
      </c>
    </row>
    <row r="13" spans="1:9" x14ac:dyDescent="0.15">
      <c r="B13" s="98" t="s">
        <v>161</v>
      </c>
      <c r="C13" s="99" t="s">
        <v>149</v>
      </c>
      <c r="D13" s="100" cm="1">
        <f t="array" ref="D13">省指_建設中</f>
        <v>0.78009367681498831</v>
      </c>
      <c r="E13" s="101" t="str" cm="1">
        <f t="array" ref="E13">審1_建設中</f>
        <v>適格</v>
      </c>
      <c r="F13" s="100" cm="1">
        <f t="array" ref="F13">投資_建設中</f>
        <v>0</v>
      </c>
      <c r="G13" s="130" t="str" cm="1">
        <f t="array" ref="G13">審2_建設中</f>
        <v>不適</v>
      </c>
      <c r="H13" s="134" t="str">
        <f t="shared" si="0"/>
        <v>不適</v>
      </c>
    </row>
    <row r="14" spans="1:9" x14ac:dyDescent="0.15">
      <c r="B14" s="102" t="s">
        <v>161</v>
      </c>
      <c r="C14" s="103" t="s">
        <v>150</v>
      </c>
      <c r="D14" s="104" cm="1">
        <f t="array" ref="D14">省指_建設大</f>
        <v>0.78009367681498831</v>
      </c>
      <c r="E14" s="105" t="str" cm="1">
        <f t="array" ref="E14">審1_建設大</f>
        <v>適格</v>
      </c>
      <c r="F14" s="104" cm="1">
        <f t="array" ref="F14">投資_建設大</f>
        <v>0</v>
      </c>
      <c r="G14" s="131" t="str" cm="1">
        <f t="array" ref="G14">審2_建設大</f>
        <v>不適</v>
      </c>
      <c r="H14" s="135" t="str">
        <f t="shared" si="0"/>
        <v>不適</v>
      </c>
    </row>
    <row r="15" spans="1:9" x14ac:dyDescent="0.15">
      <c r="B15" s="94" t="s">
        <v>322</v>
      </c>
      <c r="C15" s="95" t="s">
        <v>148</v>
      </c>
      <c r="D15" s="96" cm="1">
        <f t="array" ref="D15">省指_専技小</f>
        <v>0.75337639459776873</v>
      </c>
      <c r="E15" s="97" t="str" cm="1">
        <f t="array" ref="E15">審1_専技小</f>
        <v>適格</v>
      </c>
      <c r="F15" s="96" cm="1">
        <f t="array" ref="F15">投資_専技小</f>
        <v>0</v>
      </c>
      <c r="G15" s="129" t="str" cm="1">
        <f t="array" ref="G15">審2_専技小</f>
        <v>不適</v>
      </c>
      <c r="H15" s="133" t="str">
        <f t="shared" si="0"/>
        <v>不適</v>
      </c>
    </row>
    <row r="16" spans="1:9" x14ac:dyDescent="0.15">
      <c r="B16" s="98" t="s">
        <v>322</v>
      </c>
      <c r="C16" s="99" t="s">
        <v>149</v>
      </c>
      <c r="D16" s="100" cm="1">
        <f t="array" ref="D16">省指_専技中</f>
        <v>0.75337639459776873</v>
      </c>
      <c r="E16" s="101" t="str" cm="1">
        <f t="array" ref="E16">審1_専技中</f>
        <v>適格</v>
      </c>
      <c r="F16" s="100" cm="1">
        <f t="array" ref="F16">投資_専技中</f>
        <v>0</v>
      </c>
      <c r="G16" s="130" t="str" cm="1">
        <f t="array" ref="G16">審2_専技中</f>
        <v>不適</v>
      </c>
      <c r="H16" s="134" t="str">
        <f t="shared" si="0"/>
        <v>不適</v>
      </c>
    </row>
    <row r="17" spans="2:8" x14ac:dyDescent="0.15">
      <c r="B17" s="102" t="s">
        <v>322</v>
      </c>
      <c r="C17" s="103" t="s">
        <v>150</v>
      </c>
      <c r="D17" s="104" cm="1">
        <f t="array" ref="D17">省指_専技大</f>
        <v>0.75337639459776873</v>
      </c>
      <c r="E17" s="105" t="str" cm="1">
        <f t="array" ref="E17">審1_専技大</f>
        <v>適格</v>
      </c>
      <c r="F17" s="104" cm="1">
        <f t="array" ref="F17">投資_専技大</f>
        <v>0</v>
      </c>
      <c r="G17" s="131" t="str" cm="1">
        <f t="array" ref="G17">審2_専技大</f>
        <v>不適</v>
      </c>
      <c r="H17" s="135" t="str">
        <f t="shared" si="0"/>
        <v>不適</v>
      </c>
    </row>
  </sheetData>
  <sheetProtection algorithmName="SHA-512" hashValue="9v2IoSEyp+AbzWHwj0RX9fHBiUGawaM7ZrXrn+IXukFicGthikviCtDmuv5CJ9XanKMQl2j3LizYMb1f9XUvoA==" saltValue="F9QtORdRDJhciglxoXg3dg==" spinCount="100000" sheet="1" objects="1" scenarios="1"/>
  <mergeCells count="2">
    <mergeCell ref="G4:I8"/>
    <mergeCell ref="A2:B2"/>
  </mergeCells>
  <phoneticPr fontId="1"/>
  <conditionalFormatting sqref="E12:E17">
    <cfRule type="cellIs" dxfId="3" priority="4" operator="equal">
      <formula>"適格"</formula>
    </cfRule>
    <cfRule type="cellIs" dxfId="2" priority="5" operator="equal">
      <formula>"不適"</formula>
    </cfRule>
  </conditionalFormatting>
  <conditionalFormatting sqref="G12:H17">
    <cfRule type="cellIs" dxfId="1" priority="2" operator="equal">
      <formula>"適格"</formula>
    </cfRule>
    <cfRule type="cellIs" dxfId="0"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A1:N20"/>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14" x14ac:dyDescent="0.15">
      <c r="A1" t="s">
        <v>152</v>
      </c>
      <c r="B1" t="s">
        <v>5</v>
      </c>
      <c r="D1" t="s">
        <v>153</v>
      </c>
      <c r="E1" t="s">
        <v>154</v>
      </c>
      <c r="F1" t="s">
        <v>155</v>
      </c>
      <c r="G1" t="s">
        <v>156</v>
      </c>
      <c r="N1" s="31"/>
    </row>
    <row r="2" spans="1:14" x14ac:dyDescent="0.15">
      <c r="A2" t="s">
        <v>157</v>
      </c>
      <c r="B2" t="s">
        <v>158</v>
      </c>
      <c r="D2" t="s">
        <v>159</v>
      </c>
      <c r="E2" t="s">
        <v>8</v>
      </c>
      <c r="F2" t="s">
        <v>8</v>
      </c>
      <c r="G2" t="s">
        <v>8</v>
      </c>
    </row>
    <row r="3" spans="1:14" x14ac:dyDescent="0.15">
      <c r="A3" t="s">
        <v>160</v>
      </c>
      <c r="B3" t="s">
        <v>161</v>
      </c>
      <c r="D3" t="s">
        <v>162</v>
      </c>
      <c r="E3" t="s">
        <v>10</v>
      </c>
      <c r="F3" t="s">
        <v>10</v>
      </c>
      <c r="G3" t="s">
        <v>10</v>
      </c>
    </row>
    <row r="4" spans="1:14" x14ac:dyDescent="0.15">
      <c r="A4" t="s">
        <v>163</v>
      </c>
      <c r="B4" t="s">
        <v>164</v>
      </c>
      <c r="D4" t="s">
        <v>165</v>
      </c>
      <c r="E4" t="s">
        <v>166</v>
      </c>
      <c r="F4" t="s">
        <v>166</v>
      </c>
      <c r="G4" t="s">
        <v>9</v>
      </c>
    </row>
    <row r="5" spans="1:14" x14ac:dyDescent="0.15">
      <c r="A5" t="s">
        <v>167</v>
      </c>
      <c r="B5" t="s">
        <v>168</v>
      </c>
      <c r="E5" t="s">
        <v>169</v>
      </c>
      <c r="F5" t="s">
        <v>170</v>
      </c>
      <c r="G5" t="s">
        <v>171</v>
      </c>
    </row>
    <row r="6" spans="1:14" x14ac:dyDescent="0.15">
      <c r="A6" t="s">
        <v>172</v>
      </c>
      <c r="B6" t="s">
        <v>173</v>
      </c>
      <c r="E6" t="s">
        <v>174</v>
      </c>
      <c r="F6" t="s">
        <v>175</v>
      </c>
      <c r="G6" t="s">
        <v>176</v>
      </c>
    </row>
    <row r="7" spans="1:14" x14ac:dyDescent="0.15">
      <c r="A7" t="s">
        <v>177</v>
      </c>
      <c r="B7" t="s">
        <v>151</v>
      </c>
      <c r="E7" t="s">
        <v>175</v>
      </c>
      <c r="F7" t="s">
        <v>171</v>
      </c>
      <c r="G7" t="s">
        <v>178</v>
      </c>
    </row>
    <row r="8" spans="1:14" x14ac:dyDescent="0.15">
      <c r="A8" t="s">
        <v>179</v>
      </c>
      <c r="B8" t="s">
        <v>180</v>
      </c>
      <c r="E8" t="s">
        <v>181</v>
      </c>
      <c r="F8" t="s">
        <v>176</v>
      </c>
      <c r="G8" t="s">
        <v>182</v>
      </c>
    </row>
    <row r="9" spans="1:14" x14ac:dyDescent="0.15">
      <c r="A9" t="s">
        <v>183</v>
      </c>
      <c r="B9" t="s">
        <v>147</v>
      </c>
      <c r="E9" t="s">
        <v>184</v>
      </c>
      <c r="F9" t="s">
        <v>11</v>
      </c>
      <c r="G9" t="s">
        <v>185</v>
      </c>
    </row>
    <row r="10" spans="1:14" x14ac:dyDescent="0.15">
      <c r="A10" t="s">
        <v>186</v>
      </c>
      <c r="F10" t="s">
        <v>184</v>
      </c>
    </row>
    <row r="11" spans="1:14" x14ac:dyDescent="0.15">
      <c r="A11" t="s">
        <v>187</v>
      </c>
    </row>
    <row r="17" spans="3:4" x14ac:dyDescent="0.15">
      <c r="C17" s="2"/>
      <c r="D17" t="s">
        <v>188</v>
      </c>
    </row>
    <row r="18" spans="3:4" x14ac:dyDescent="0.15">
      <c r="C18" s="1"/>
      <c r="D18" t="s">
        <v>189</v>
      </c>
    </row>
    <row r="19" spans="3:4" ht="14.25" thickBot="1" x14ac:dyDescent="0.2">
      <c r="C19" s="20"/>
      <c r="D19" t="s">
        <v>190</v>
      </c>
    </row>
    <row r="20" spans="3:4" ht="14.25" thickBot="1" x14ac:dyDescent="0.2">
      <c r="C20" s="21"/>
      <c r="D20" t="s">
        <v>191</v>
      </c>
    </row>
  </sheetData>
  <sheetProtection algorithmName="SHA-512" hashValue="gg50g8vmRErFQqiN0q2rEcLRPquA8HQxH1HVOs+saj+iNsOww8csW67zdm1EHz/jnY5pNoMUM2k0i+kFN57h9Q==" saltValue="NRJBv1bcFKwiIAutCjwxrg=="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4A56-E2D0-490D-8978-C6216AFF97B2}">
  <sheetPr codeName="Sheet10">
    <tabColor theme="6" tint="0.79998168889431442"/>
    <pageSetUpPr fitToPage="1"/>
  </sheetPr>
  <dimension ref="B2:X54"/>
  <sheetViews>
    <sheetView view="pageBreakPreview" zoomScaleNormal="85" zoomScaleSheetLayoutView="100" workbookViewId="0"/>
  </sheetViews>
  <sheetFormatPr defaultRowHeight="13.5" x14ac:dyDescent="0.15"/>
  <cols>
    <col min="1" max="2" width="2.75" customWidth="1"/>
    <col min="3" max="3" width="28.125" customWidth="1"/>
    <col min="4" max="4" width="14.125" customWidth="1"/>
    <col min="5" max="5" width="2.625" customWidth="1"/>
    <col min="6" max="6" width="6.375" customWidth="1"/>
    <col min="8" max="8" width="3.375" customWidth="1"/>
    <col min="9" max="9" width="6" customWidth="1"/>
    <col min="10" max="10" width="9.75" customWidth="1"/>
    <col min="11" max="11" width="3.375" bestFit="1" customWidth="1"/>
    <col min="12" max="12" width="6.375" customWidth="1"/>
    <col min="13" max="13" width="9.375" bestFit="1" customWidth="1"/>
    <col min="14" max="14" width="3.375" bestFit="1" customWidth="1"/>
    <col min="15" max="15" width="10" customWidth="1"/>
    <col min="16" max="16" width="8.125" customWidth="1"/>
    <col min="17" max="18" width="2.875" customWidth="1"/>
  </cols>
  <sheetData>
    <row r="2" spans="2:17" ht="24" x14ac:dyDescent="0.15">
      <c r="C2" s="318" t="s">
        <v>192</v>
      </c>
      <c r="D2" s="318"/>
      <c r="E2" s="318"/>
      <c r="F2" s="318"/>
      <c r="G2" s="318"/>
      <c r="H2" s="318"/>
      <c r="I2" s="318"/>
      <c r="J2" s="318"/>
      <c r="K2" s="318"/>
      <c r="L2" s="318"/>
      <c r="M2" s="318"/>
      <c r="N2" s="318"/>
      <c r="O2" s="318"/>
      <c r="P2" s="318"/>
    </row>
    <row r="3" spans="2:17" ht="7.5" customHeight="1" x14ac:dyDescent="0.15">
      <c r="C3" s="23"/>
      <c r="D3" s="23"/>
      <c r="E3" s="23"/>
      <c r="F3" s="23"/>
      <c r="G3" s="23"/>
      <c r="H3" s="23"/>
      <c r="I3" s="23"/>
      <c r="J3" s="23"/>
      <c r="K3" s="23"/>
      <c r="L3" s="23"/>
      <c r="M3" s="23"/>
      <c r="N3" s="23"/>
      <c r="O3" s="23"/>
      <c r="P3" s="23"/>
    </row>
    <row r="4" spans="2:17" ht="15" customHeight="1" x14ac:dyDescent="0.15">
      <c r="C4" s="49" t="str">
        <f>"【"&amp;製品カテゴリ&amp;"】"</f>
        <v>【測量機（自動視準・自動追尾機能付き高機能トータルステーション）】</v>
      </c>
      <c r="D4" s="23"/>
      <c r="E4" s="23"/>
      <c r="F4" s="23"/>
      <c r="G4" s="23"/>
      <c r="H4" s="23"/>
      <c r="I4" s="23"/>
      <c r="J4" s="23"/>
      <c r="K4" s="24"/>
      <c r="L4" s="24"/>
      <c r="M4" s="24"/>
      <c r="N4" s="664" t="s">
        <v>326</v>
      </c>
      <c r="O4" s="664"/>
      <c r="P4" s="664"/>
    </row>
    <row r="5" spans="2:17" ht="7.5" customHeight="1" x14ac:dyDescent="0.15">
      <c r="C5" s="23"/>
      <c r="D5" s="23"/>
      <c r="E5" s="23"/>
      <c r="F5" s="23"/>
      <c r="G5" s="23"/>
      <c r="H5" s="23"/>
      <c r="I5" s="23"/>
      <c r="J5" s="23"/>
      <c r="K5" s="23"/>
      <c r="L5" s="23"/>
      <c r="M5" s="23"/>
      <c r="N5" s="23"/>
      <c r="O5" s="23"/>
      <c r="P5" s="23"/>
    </row>
    <row r="6" spans="2:17" x14ac:dyDescent="0.15">
      <c r="C6" s="6" t="s">
        <v>1</v>
      </c>
      <c r="D6" s="665">
        <f>製造事業者名</f>
        <v>0</v>
      </c>
      <c r="E6" s="665"/>
      <c r="F6" s="665"/>
      <c r="G6" s="665"/>
      <c r="H6" s="665"/>
      <c r="I6" s="665"/>
      <c r="J6" s="665"/>
      <c r="K6" s="665"/>
      <c r="L6" s="665"/>
      <c r="M6" s="665"/>
    </row>
    <row r="7" spans="2:17" x14ac:dyDescent="0.15">
      <c r="C7" s="6" t="s">
        <v>2</v>
      </c>
      <c r="D7" s="665">
        <f>型番</f>
        <v>0</v>
      </c>
      <c r="E7" s="665"/>
      <c r="F7" s="665"/>
      <c r="G7" s="665"/>
      <c r="H7" s="665"/>
      <c r="I7" s="665"/>
      <c r="J7" s="665"/>
      <c r="K7" s="665"/>
      <c r="L7" s="665"/>
      <c r="M7" s="665"/>
    </row>
    <row r="9" spans="2:17" x14ac:dyDescent="0.15">
      <c r="C9" s="148" t="s">
        <v>233</v>
      </c>
      <c r="D9" s="148"/>
    </row>
    <row r="10" spans="2:17" x14ac:dyDescent="0.15">
      <c r="C10" s="148"/>
      <c r="D10" s="148"/>
    </row>
    <row r="11" spans="2:17" x14ac:dyDescent="0.15">
      <c r="C11" s="27" t="s">
        <v>193</v>
      </c>
      <c r="D11" s="666" t="s">
        <v>328</v>
      </c>
      <c r="E11" s="667"/>
      <c r="F11" s="667"/>
      <c r="G11" s="667"/>
      <c r="H11" s="668"/>
    </row>
    <row r="13" spans="2:17" ht="17.25" x14ac:dyDescent="0.15">
      <c r="B13" s="10"/>
      <c r="C13" s="18" t="s">
        <v>194</v>
      </c>
      <c r="D13" s="18"/>
      <c r="E13" s="11"/>
      <c r="F13" s="11"/>
      <c r="G13" s="11"/>
      <c r="H13" s="11"/>
      <c r="I13" s="11"/>
      <c r="J13" s="11"/>
      <c r="K13" s="11"/>
      <c r="L13" s="11"/>
      <c r="M13" s="11"/>
      <c r="N13" s="11"/>
      <c r="O13" s="11"/>
      <c r="P13" s="11"/>
      <c r="Q13" s="12"/>
    </row>
    <row r="14" spans="2:17" x14ac:dyDescent="0.15">
      <c r="B14" s="13"/>
      <c r="C14" s="7"/>
      <c r="D14" s="7"/>
      <c r="G14" s="4"/>
      <c r="J14" s="4"/>
      <c r="Q14" s="14"/>
    </row>
    <row r="15" spans="2:17" x14ac:dyDescent="0.15">
      <c r="B15" s="13"/>
      <c r="C15" s="149" t="s">
        <v>247</v>
      </c>
      <c r="D15" s="7"/>
      <c r="F15" s="188">
        <v>81</v>
      </c>
      <c r="G15" s="186" t="s">
        <v>248</v>
      </c>
      <c r="H15" s="186" t="s">
        <v>199</v>
      </c>
      <c r="I15" s="189">
        <f>'利用が想定される中小企業(建設業)'!D11*'利用が想定される中小企業(建設業)'!D8</f>
        <v>10</v>
      </c>
      <c r="J15" s="186" t="s">
        <v>219</v>
      </c>
      <c r="K15" s="186" t="s">
        <v>195</v>
      </c>
      <c r="L15" s="189">
        <v>3600</v>
      </c>
      <c r="M15" s="186" t="s">
        <v>249</v>
      </c>
      <c r="N15" s="186" t="s">
        <v>196</v>
      </c>
      <c r="O15" s="190">
        <f>F15*I15/L15</f>
        <v>0.22500000000000001</v>
      </c>
      <c r="P15" s="186" t="s">
        <v>197</v>
      </c>
      <c r="Q15" s="14"/>
    </row>
    <row r="16" spans="2:17" x14ac:dyDescent="0.15">
      <c r="B16" s="13"/>
      <c r="C16" s="149" t="s">
        <v>250</v>
      </c>
      <c r="D16" s="7"/>
      <c r="F16" s="188">
        <v>25</v>
      </c>
      <c r="G16" s="186" t="s">
        <v>248</v>
      </c>
      <c r="H16" s="186" t="s">
        <v>199</v>
      </c>
      <c r="I16" s="189">
        <f>'利用が想定される中小企業(建設業)'!D12*'利用が想定される中小企業(建設業)'!D11*'利用が想定される中小企業(建設業)'!D8</f>
        <v>300</v>
      </c>
      <c r="J16" s="186" t="s">
        <v>219</v>
      </c>
      <c r="K16" s="186" t="s">
        <v>195</v>
      </c>
      <c r="L16" s="189">
        <v>3600</v>
      </c>
      <c r="M16" s="186" t="s">
        <v>249</v>
      </c>
      <c r="N16" s="186" t="s">
        <v>196</v>
      </c>
      <c r="O16" s="191">
        <f>F16*I16/L16</f>
        <v>2.0833333333333335</v>
      </c>
      <c r="P16" s="186" t="s">
        <v>197</v>
      </c>
      <c r="Q16" s="14"/>
    </row>
    <row r="17" spans="2:17" x14ac:dyDescent="0.15">
      <c r="B17" s="13"/>
      <c r="C17" s="149" t="s">
        <v>251</v>
      </c>
      <c r="D17" s="7"/>
      <c r="F17" s="188">
        <v>360</v>
      </c>
      <c r="G17" s="186" t="s">
        <v>248</v>
      </c>
      <c r="H17" s="186" t="s">
        <v>199</v>
      </c>
      <c r="I17" s="189">
        <f>'利用が想定される中小企業(建設業)'!D8</f>
        <v>2</v>
      </c>
      <c r="J17" s="186" t="s">
        <v>219</v>
      </c>
      <c r="K17" s="186" t="s">
        <v>195</v>
      </c>
      <c r="L17" s="189">
        <v>3600</v>
      </c>
      <c r="M17" s="186" t="s">
        <v>249</v>
      </c>
      <c r="N17" s="186" t="s">
        <v>196</v>
      </c>
      <c r="O17" s="191">
        <f>F17*I17/L17</f>
        <v>0.2</v>
      </c>
      <c r="P17" s="186" t="s">
        <v>197</v>
      </c>
      <c r="Q17" s="14"/>
    </row>
    <row r="18" spans="2:17" x14ac:dyDescent="0.15">
      <c r="B18" s="13"/>
      <c r="C18" s="150" t="s">
        <v>252</v>
      </c>
      <c r="D18" s="3"/>
      <c r="E18" s="3"/>
      <c r="F18" s="192"/>
      <c r="G18" s="193"/>
      <c r="H18" s="193"/>
      <c r="I18" s="194">
        <f>'利用が想定される中小企業(建設業)'!D8</f>
        <v>2</v>
      </c>
      <c r="J18" s="193" t="s">
        <v>253</v>
      </c>
      <c r="K18" s="193" t="s">
        <v>199</v>
      </c>
      <c r="L18" s="194">
        <f>'利用が想定される中小企業(建設業)'!D10+2</f>
        <v>4.6763888888888889</v>
      </c>
      <c r="M18" s="193" t="s">
        <v>197</v>
      </c>
      <c r="N18" s="193" t="s">
        <v>196</v>
      </c>
      <c r="O18" s="195">
        <f>I18*L18</f>
        <v>9.3527777777777779</v>
      </c>
      <c r="P18" s="193" t="s">
        <v>197</v>
      </c>
      <c r="Q18" s="14"/>
    </row>
    <row r="19" spans="2:17" x14ac:dyDescent="0.15">
      <c r="B19" s="13"/>
      <c r="C19" t="s">
        <v>198</v>
      </c>
      <c r="F19" s="186"/>
      <c r="G19" s="186"/>
      <c r="H19" s="186"/>
      <c r="I19" s="186"/>
      <c r="J19" s="186"/>
      <c r="K19" s="186"/>
      <c r="L19" s="186"/>
      <c r="M19" s="186"/>
      <c r="N19" s="186"/>
      <c r="O19" s="191">
        <f>SUM(O15:O18)</f>
        <v>11.861111111111111</v>
      </c>
      <c r="P19" s="186" t="s">
        <v>197</v>
      </c>
      <c r="Q19" s="14"/>
    </row>
    <row r="20" spans="2:17" x14ac:dyDescent="0.15">
      <c r="B20" s="13"/>
      <c r="C20" t="s">
        <v>254</v>
      </c>
      <c r="F20" s="186"/>
      <c r="G20" s="186"/>
      <c r="H20" s="186"/>
      <c r="I20" s="186"/>
      <c r="J20" s="186"/>
      <c r="K20" s="186"/>
      <c r="L20" s="186"/>
      <c r="M20" s="186"/>
      <c r="N20" s="186"/>
      <c r="O20" s="196"/>
      <c r="P20" s="186"/>
      <c r="Q20" s="14"/>
    </row>
    <row r="21" spans="2:17" x14ac:dyDescent="0.15">
      <c r="B21" s="13"/>
      <c r="F21" s="186"/>
      <c r="G21" s="186"/>
      <c r="H21" s="186"/>
      <c r="I21" s="186"/>
      <c r="J21" s="186"/>
      <c r="K21" s="186"/>
      <c r="L21" s="186"/>
      <c r="M21" s="186"/>
      <c r="N21" s="186"/>
      <c r="O21" s="196"/>
      <c r="P21" s="186"/>
      <c r="Q21" s="14"/>
    </row>
    <row r="22" spans="2:17" x14ac:dyDescent="0.15">
      <c r="B22" s="13"/>
      <c r="C22" t="s">
        <v>255</v>
      </c>
      <c r="F22" s="188">
        <v>450</v>
      </c>
      <c r="G22" s="186" t="s">
        <v>248</v>
      </c>
      <c r="H22" s="186" t="s">
        <v>199</v>
      </c>
      <c r="I22" s="189">
        <f>'利用が想定される中小企業(建設業)'!D8</f>
        <v>2</v>
      </c>
      <c r="J22" s="186" t="s">
        <v>253</v>
      </c>
      <c r="K22" s="186" t="s">
        <v>195</v>
      </c>
      <c r="L22" s="189">
        <v>3600</v>
      </c>
      <c r="M22" s="186" t="s">
        <v>249</v>
      </c>
      <c r="N22" s="186" t="s">
        <v>196</v>
      </c>
      <c r="O22" s="191">
        <f>F22*I22/L22</f>
        <v>0.25</v>
      </c>
      <c r="P22" s="186" t="s">
        <v>197</v>
      </c>
      <c r="Q22" s="14"/>
    </row>
    <row r="23" spans="2:17" x14ac:dyDescent="0.15">
      <c r="B23" s="13"/>
      <c r="C23" t="s">
        <v>256</v>
      </c>
      <c r="F23" s="188">
        <v>141</v>
      </c>
      <c r="G23" s="186" t="s">
        <v>248</v>
      </c>
      <c r="H23" s="186" t="s">
        <v>199</v>
      </c>
      <c r="I23" s="189">
        <f>'利用が想定される中小企業(建設業)'!D11*'利用が想定される中小企業(建設業)'!D8</f>
        <v>10</v>
      </c>
      <c r="J23" s="186" t="s">
        <v>219</v>
      </c>
      <c r="K23" s="186" t="s">
        <v>195</v>
      </c>
      <c r="L23" s="189">
        <v>3600</v>
      </c>
      <c r="M23" s="186" t="s">
        <v>249</v>
      </c>
      <c r="N23" s="186" t="s">
        <v>196</v>
      </c>
      <c r="O23" s="191">
        <f>F23*I23/L23</f>
        <v>0.39166666666666666</v>
      </c>
      <c r="P23" s="186" t="s">
        <v>197</v>
      </c>
      <c r="Q23" s="14"/>
    </row>
    <row r="24" spans="2:17" x14ac:dyDescent="0.15">
      <c r="B24" s="13"/>
      <c r="C24" t="s">
        <v>257</v>
      </c>
      <c r="F24" s="188">
        <v>11</v>
      </c>
      <c r="G24" s="186" t="s">
        <v>248</v>
      </c>
      <c r="H24" s="186" t="s">
        <v>199</v>
      </c>
      <c r="I24" s="189">
        <f>'利用が想定される中小企業(建設業)'!D12*'利用が想定される中小企業(建設業)'!D11*'利用が想定される中小企業(建設業)'!D8</f>
        <v>300</v>
      </c>
      <c r="J24" s="186" t="s">
        <v>219</v>
      </c>
      <c r="K24" s="186" t="s">
        <v>195</v>
      </c>
      <c r="L24" s="189">
        <v>3600</v>
      </c>
      <c r="M24" s="186" t="s">
        <v>249</v>
      </c>
      <c r="N24" s="186" t="s">
        <v>196</v>
      </c>
      <c r="O24" s="191">
        <f>F24*I24/L24</f>
        <v>0.91666666666666663</v>
      </c>
      <c r="P24" s="186" t="s">
        <v>197</v>
      </c>
      <c r="Q24" s="14"/>
    </row>
    <row r="25" spans="2:17" x14ac:dyDescent="0.15">
      <c r="B25" s="13"/>
      <c r="C25" t="s">
        <v>258</v>
      </c>
      <c r="F25" s="189">
        <v>540</v>
      </c>
      <c r="G25" s="186" t="s">
        <v>248</v>
      </c>
      <c r="H25" s="186" t="s">
        <v>199</v>
      </c>
      <c r="I25" s="189">
        <f>'利用が想定される中小企業(建設業)'!D8</f>
        <v>2</v>
      </c>
      <c r="J25" s="186" t="s">
        <v>219</v>
      </c>
      <c r="K25" s="186" t="s">
        <v>195</v>
      </c>
      <c r="L25" s="189">
        <v>3600</v>
      </c>
      <c r="M25" s="186" t="s">
        <v>249</v>
      </c>
      <c r="N25" s="186" t="s">
        <v>196</v>
      </c>
      <c r="O25" s="191">
        <f>F25*I25/L25</f>
        <v>0.3</v>
      </c>
      <c r="P25" s="186" t="s">
        <v>197</v>
      </c>
      <c r="Q25" s="14"/>
    </row>
    <row r="26" spans="2:17" x14ac:dyDescent="0.15">
      <c r="B26" s="13"/>
      <c r="C26" s="3" t="s">
        <v>259</v>
      </c>
      <c r="D26" s="3"/>
      <c r="E26" s="3"/>
      <c r="F26" s="197">
        <f>IF(自動追尾機能="有",0,9)</f>
        <v>9</v>
      </c>
      <c r="G26" s="193" t="s">
        <v>248</v>
      </c>
      <c r="H26" s="193" t="s">
        <v>199</v>
      </c>
      <c r="I26" s="194">
        <f>'利用が想定される中小企業(建設業)'!D12*'利用が想定される中小企業(建設業)'!D11*'利用が想定される中小企業(建設業)'!D8</f>
        <v>300</v>
      </c>
      <c r="J26" s="193" t="s">
        <v>219</v>
      </c>
      <c r="K26" s="193" t="s">
        <v>195</v>
      </c>
      <c r="L26" s="194">
        <v>3600</v>
      </c>
      <c r="M26" s="193" t="s">
        <v>249</v>
      </c>
      <c r="N26" s="193" t="s">
        <v>196</v>
      </c>
      <c r="O26" s="198">
        <f>F26*I26/L26</f>
        <v>0.75</v>
      </c>
      <c r="P26" s="193" t="s">
        <v>197</v>
      </c>
      <c r="Q26" s="14"/>
    </row>
    <row r="27" spans="2:17" x14ac:dyDescent="0.15">
      <c r="B27" s="13"/>
      <c r="C27" t="s">
        <v>200</v>
      </c>
      <c r="F27" s="186"/>
      <c r="G27" s="186"/>
      <c r="H27" s="186"/>
      <c r="I27" s="186"/>
      <c r="J27" s="186"/>
      <c r="K27" s="186"/>
      <c r="L27" s="186"/>
      <c r="M27" s="186"/>
      <c r="N27" s="186"/>
      <c r="O27" s="199">
        <f>SUM(O22:O26)</f>
        <v>2.6083333333333334</v>
      </c>
      <c r="P27" s="186" t="s">
        <v>197</v>
      </c>
      <c r="Q27" s="14"/>
    </row>
    <row r="28" spans="2:17" x14ac:dyDescent="0.15">
      <c r="B28" s="13"/>
      <c r="C28" t="s">
        <v>260</v>
      </c>
      <c r="F28" s="186"/>
      <c r="G28" s="186"/>
      <c r="H28" s="186"/>
      <c r="I28" s="186"/>
      <c r="J28" s="186"/>
      <c r="K28" s="186"/>
      <c r="L28" s="186"/>
      <c r="M28" s="186"/>
      <c r="N28" s="186"/>
      <c r="O28" s="196"/>
      <c r="P28" s="186"/>
      <c r="Q28" s="14"/>
    </row>
    <row r="29" spans="2:17" ht="14.25" thickBot="1" x14ac:dyDescent="0.2">
      <c r="B29" s="13"/>
      <c r="F29" s="186"/>
      <c r="G29" s="186"/>
      <c r="H29" s="186"/>
      <c r="I29" s="186"/>
      <c r="J29" s="186"/>
      <c r="K29" s="186"/>
      <c r="L29" s="186"/>
      <c r="M29" s="186"/>
      <c r="N29" s="186"/>
      <c r="O29" s="196"/>
      <c r="P29" s="186"/>
      <c r="Q29" s="14"/>
    </row>
    <row r="30" spans="2:17" ht="14.25" thickBot="1" x14ac:dyDescent="0.2">
      <c r="B30" s="13"/>
      <c r="C30" s="8" t="s">
        <v>327</v>
      </c>
      <c r="D30" s="8"/>
      <c r="E30" s="6" t="s">
        <v>261</v>
      </c>
      <c r="F30" s="191">
        <f>O19</f>
        <v>11.861111111111111</v>
      </c>
      <c r="G30" s="186" t="s">
        <v>197</v>
      </c>
      <c r="H30" s="186" t="s">
        <v>44</v>
      </c>
      <c r="I30" s="191">
        <f>O27</f>
        <v>2.6083333333333334</v>
      </c>
      <c r="J30" s="200" t="s">
        <v>333</v>
      </c>
      <c r="K30" s="186" t="s">
        <v>195</v>
      </c>
      <c r="L30" s="191">
        <f>O19</f>
        <v>11.861111111111111</v>
      </c>
      <c r="M30" s="186" t="s">
        <v>197</v>
      </c>
      <c r="N30" s="186" t="s">
        <v>201</v>
      </c>
      <c r="O30" s="201">
        <f>(F30-I30)/L30</f>
        <v>0.7800936768149882</v>
      </c>
      <c r="P30" s="186" t="s">
        <v>202</v>
      </c>
      <c r="Q30" s="14"/>
    </row>
    <row r="31" spans="2:17" x14ac:dyDescent="0.15">
      <c r="B31" s="13"/>
      <c r="C31" s="28" t="s">
        <v>203</v>
      </c>
      <c r="D31" s="28"/>
      <c r="F31" s="186"/>
      <c r="G31" s="186"/>
      <c r="H31" s="186"/>
      <c r="I31" s="186"/>
      <c r="J31" s="186"/>
      <c r="K31" s="186"/>
      <c r="L31" s="186"/>
      <c r="M31" s="186"/>
      <c r="N31" s="186"/>
      <c r="O31" s="186"/>
      <c r="P31" s="186"/>
      <c r="Q31" s="14"/>
    </row>
    <row r="32" spans="2:17" ht="14.25" thickBot="1" x14ac:dyDescent="0.2">
      <c r="B32" s="13"/>
      <c r="C32" s="28"/>
      <c r="D32" s="28"/>
      <c r="F32" s="186"/>
      <c r="G32" s="186"/>
      <c r="H32" s="186"/>
      <c r="I32" s="186"/>
      <c r="J32" s="186"/>
      <c r="K32" s="186"/>
      <c r="L32" s="186"/>
      <c r="M32" s="186"/>
      <c r="N32" s="186"/>
      <c r="O32" s="186"/>
      <c r="P32" s="186"/>
      <c r="Q32" s="14"/>
    </row>
    <row r="33" spans="2:24" ht="14.25" thickBot="1" x14ac:dyDescent="0.2">
      <c r="B33" s="13"/>
      <c r="C33" s="28" t="s">
        <v>204</v>
      </c>
      <c r="D33" s="28"/>
      <c r="F33" s="186"/>
      <c r="G33" s="186"/>
      <c r="H33" s="186"/>
      <c r="I33" s="186"/>
      <c r="J33" s="186"/>
      <c r="K33" s="186"/>
      <c r="L33" s="186"/>
      <c r="M33" s="186"/>
      <c r="N33" s="186"/>
      <c r="O33" s="202" t="str">
        <f>IF(O30&gt;=0.2,"適格","不適")</f>
        <v>適格</v>
      </c>
      <c r="P33" s="186"/>
      <c r="Q33" s="14"/>
    </row>
    <row r="34" spans="2:24" x14ac:dyDescent="0.15">
      <c r="B34" s="15"/>
      <c r="C34" s="19"/>
      <c r="D34" s="151"/>
      <c r="E34" s="3"/>
      <c r="F34" s="193"/>
      <c r="G34" s="193"/>
      <c r="H34" s="193"/>
      <c r="I34" s="193"/>
      <c r="J34" s="193"/>
      <c r="K34" s="193"/>
      <c r="L34" s="193"/>
      <c r="M34" s="193"/>
      <c r="N34" s="193"/>
      <c r="O34" s="193"/>
      <c r="P34" s="193"/>
      <c r="Q34" s="16"/>
    </row>
    <row r="35" spans="2:24" x14ac:dyDescent="0.15">
      <c r="F35" s="186"/>
      <c r="G35" s="186"/>
      <c r="H35" s="186"/>
      <c r="I35" s="186"/>
      <c r="J35" s="186"/>
      <c r="K35" s="186"/>
      <c r="L35" s="186"/>
      <c r="M35" s="186"/>
      <c r="N35" s="186"/>
      <c r="O35" s="186"/>
      <c r="P35" s="186"/>
      <c r="X35" s="9"/>
    </row>
    <row r="36" spans="2:24" ht="17.25" x14ac:dyDescent="0.15">
      <c r="B36" s="10"/>
      <c r="C36" s="18" t="s">
        <v>205</v>
      </c>
      <c r="D36" s="18"/>
      <c r="E36" s="11"/>
      <c r="F36" s="204"/>
      <c r="G36" s="204"/>
      <c r="H36" s="204"/>
      <c r="I36" s="204"/>
      <c r="J36" s="204"/>
      <c r="K36" s="204"/>
      <c r="L36" s="204"/>
      <c r="M36" s="204"/>
      <c r="N36" s="204"/>
      <c r="O36" s="204"/>
      <c r="P36" s="204"/>
      <c r="Q36" s="12"/>
    </row>
    <row r="37" spans="2:24" ht="14.25" thickBot="1" x14ac:dyDescent="0.2">
      <c r="B37" s="13"/>
      <c r="F37" s="186"/>
      <c r="G37" s="186"/>
      <c r="H37" s="186"/>
      <c r="I37" s="186"/>
      <c r="J37" s="186"/>
      <c r="K37" s="186"/>
      <c r="L37" s="186"/>
      <c r="M37" s="186"/>
      <c r="N37" s="186"/>
      <c r="O37" s="186"/>
      <c r="P37" s="186"/>
      <c r="Q37" s="14"/>
    </row>
    <row r="38" spans="2:24" ht="14.25" thickBot="1" x14ac:dyDescent="0.2">
      <c r="B38" s="13"/>
      <c r="C38" t="s">
        <v>206</v>
      </c>
      <c r="F38" s="186"/>
      <c r="G38" s="186"/>
      <c r="H38" s="186"/>
      <c r="I38" s="186"/>
      <c r="J38" s="186"/>
      <c r="K38" s="186"/>
      <c r="L38" s="186"/>
      <c r="M38" s="186"/>
      <c r="N38" s="186"/>
      <c r="O38" s="205">
        <f>機器費用/1000</f>
        <v>0</v>
      </c>
      <c r="P38" s="186" t="s">
        <v>207</v>
      </c>
      <c r="Q38" s="14"/>
    </row>
    <row r="39" spans="2:24" ht="14.25" thickBot="1" x14ac:dyDescent="0.2">
      <c r="B39" s="13"/>
      <c r="C39" s="3" t="s">
        <v>325</v>
      </c>
      <c r="D39" s="3"/>
      <c r="E39" s="3"/>
      <c r="F39" s="193"/>
      <c r="G39" s="193"/>
      <c r="H39" s="193"/>
      <c r="I39" s="193"/>
      <c r="J39" s="193"/>
      <c r="K39" s="193"/>
      <c r="L39" s="193"/>
      <c r="M39" s="193"/>
      <c r="N39" s="193"/>
      <c r="O39" s="206">
        <f>設定費用/1000</f>
        <v>0</v>
      </c>
      <c r="P39" s="193" t="s">
        <v>207</v>
      </c>
      <c r="Q39" s="14"/>
    </row>
    <row r="40" spans="2:24" x14ac:dyDescent="0.15">
      <c r="B40" s="13"/>
      <c r="C40" t="s">
        <v>262</v>
      </c>
      <c r="F40" s="186"/>
      <c r="G40" s="186"/>
      <c r="H40" s="186"/>
      <c r="I40" s="186"/>
      <c r="J40" s="186"/>
      <c r="K40" s="186"/>
      <c r="L40" s="186"/>
      <c r="M40" s="186"/>
      <c r="N40" s="186"/>
      <c r="O40" s="207">
        <f>SUM(O38:O39)</f>
        <v>0</v>
      </c>
      <c r="P40" s="186" t="s">
        <v>209</v>
      </c>
      <c r="Q40" s="14"/>
    </row>
    <row r="41" spans="2:24" x14ac:dyDescent="0.15">
      <c r="B41" s="13"/>
      <c r="F41" s="186"/>
      <c r="G41" s="186"/>
      <c r="H41" s="186"/>
      <c r="I41" s="186"/>
      <c r="J41" s="186"/>
      <c r="K41" s="186"/>
      <c r="L41" s="186"/>
      <c r="M41" s="186"/>
      <c r="N41" s="186"/>
      <c r="O41" s="208"/>
      <c r="P41" s="186"/>
      <c r="Q41" s="14"/>
      <c r="V41" s="152"/>
    </row>
    <row r="42" spans="2:24" x14ac:dyDescent="0.15">
      <c r="B42" s="13"/>
      <c r="C42" t="s">
        <v>210</v>
      </c>
      <c r="F42" s="209">
        <f>'利用が想定される中小企業(建設業)'!$D$3</f>
        <v>2.0339999999999998</v>
      </c>
      <c r="G42" s="186" t="s">
        <v>263</v>
      </c>
      <c r="H42" s="186" t="s">
        <v>199</v>
      </c>
      <c r="I42" s="210">
        <f>(O19-O27)/'利用が想定される中小企業(建設業)'!D14</f>
        <v>4.6263888888888882</v>
      </c>
      <c r="J42" s="186" t="s">
        <v>208</v>
      </c>
      <c r="K42" s="186" t="s">
        <v>199</v>
      </c>
      <c r="L42" s="189">
        <f>'利用が想定される中小企業(建設業)'!D9</f>
        <v>120</v>
      </c>
      <c r="M42" s="186" t="s">
        <v>211</v>
      </c>
      <c r="N42" s="186" t="s">
        <v>196</v>
      </c>
      <c r="O42" s="207">
        <f>F42*I42*L42</f>
        <v>1129.2089999999996</v>
      </c>
      <c r="P42" s="186" t="s">
        <v>212</v>
      </c>
      <c r="Q42" s="14"/>
    </row>
    <row r="43" spans="2:24" x14ac:dyDescent="0.15">
      <c r="B43" s="13"/>
      <c r="C43" s="3" t="s">
        <v>213</v>
      </c>
      <c r="D43" s="3"/>
      <c r="E43" s="3"/>
      <c r="F43" s="211"/>
      <c r="G43" s="211"/>
      <c r="H43" s="211"/>
      <c r="I43" s="212">
        <f>'利用が想定される中小企業(建設業)'!$D$4</f>
        <v>825</v>
      </c>
      <c r="J43" s="193" t="s">
        <v>214</v>
      </c>
      <c r="K43" s="193" t="s">
        <v>199</v>
      </c>
      <c r="L43" s="213">
        <f>(O19-O27)/8/'利用が想定される中小企業(建設業)'!D14</f>
        <v>0.57829861111111103</v>
      </c>
      <c r="M43" s="193" t="s">
        <v>264</v>
      </c>
      <c r="N43" s="193" t="s">
        <v>196</v>
      </c>
      <c r="O43" s="214">
        <f>I43*L43</f>
        <v>477.09635416666657</v>
      </c>
      <c r="P43" s="193" t="s">
        <v>212</v>
      </c>
      <c r="Q43" s="14"/>
    </row>
    <row r="44" spans="2:24" x14ac:dyDescent="0.15">
      <c r="B44" s="13"/>
      <c r="C44" t="s">
        <v>215</v>
      </c>
      <c r="F44" s="186"/>
      <c r="G44" s="186"/>
      <c r="H44" s="186"/>
      <c r="I44" s="215"/>
      <c r="J44" s="186"/>
      <c r="K44" s="186"/>
      <c r="L44" s="186"/>
      <c r="M44" s="186"/>
      <c r="N44" s="186"/>
      <c r="O44" s="207">
        <f>SUM(O42:O43)</f>
        <v>1606.3053541666661</v>
      </c>
      <c r="P44" s="186"/>
      <c r="Q44" s="14"/>
    </row>
    <row r="45" spans="2:24" ht="14.25" thickBot="1" x14ac:dyDescent="0.2">
      <c r="B45" s="13"/>
      <c r="F45" s="186"/>
      <c r="G45" s="186"/>
      <c r="H45" s="186"/>
      <c r="I45" s="186"/>
      <c r="J45" s="186"/>
      <c r="K45" s="186"/>
      <c r="L45" s="186"/>
      <c r="M45" s="186"/>
      <c r="N45" s="186"/>
      <c r="O45" s="208"/>
      <c r="P45" s="186"/>
      <c r="Q45" s="14"/>
    </row>
    <row r="46" spans="2:24" ht="14.25" thickBot="1" x14ac:dyDescent="0.2">
      <c r="B46" s="13"/>
      <c r="C46" s="8" t="s">
        <v>216</v>
      </c>
      <c r="D46" s="8"/>
      <c r="F46" s="152"/>
      <c r="G46" s="186"/>
      <c r="H46" s="186"/>
      <c r="I46" s="207">
        <f>O40</f>
        <v>0</v>
      </c>
      <c r="J46" s="186" t="s">
        <v>209</v>
      </c>
      <c r="K46" s="186" t="s">
        <v>195</v>
      </c>
      <c r="L46" s="207">
        <f>O44</f>
        <v>1606.3053541666661</v>
      </c>
      <c r="M46" s="186" t="s">
        <v>212</v>
      </c>
      <c r="N46" s="186" t="s">
        <v>196</v>
      </c>
      <c r="O46" s="201">
        <f>IF(L46&lt;=0,0,I46/L46)</f>
        <v>0</v>
      </c>
      <c r="P46" s="186" t="s">
        <v>217</v>
      </c>
      <c r="Q46" s="14"/>
    </row>
    <row r="47" spans="2:24" x14ac:dyDescent="0.15">
      <c r="B47" s="13"/>
      <c r="C47" s="28" t="s">
        <v>218</v>
      </c>
      <c r="D47" s="8"/>
      <c r="F47" s="186"/>
      <c r="G47" s="186"/>
      <c r="H47" s="186"/>
      <c r="I47" s="216"/>
      <c r="J47" s="186"/>
      <c r="K47" s="186"/>
      <c r="L47" s="186"/>
      <c r="M47" s="186"/>
      <c r="N47" s="186"/>
      <c r="O47" s="196"/>
      <c r="P47" s="186"/>
      <c r="Q47" s="14"/>
    </row>
    <row r="48" spans="2:24" ht="14.25" thickBot="1" x14ac:dyDescent="0.2">
      <c r="B48" s="13"/>
      <c r="C48" s="28"/>
      <c r="D48" s="8"/>
      <c r="F48" s="186"/>
      <c r="G48" s="186"/>
      <c r="H48" s="186"/>
      <c r="I48" s="216"/>
      <c r="J48" s="186"/>
      <c r="K48" s="186"/>
      <c r="L48" s="186"/>
      <c r="M48" s="186"/>
      <c r="N48" s="186"/>
      <c r="O48" s="196"/>
      <c r="P48" s="186"/>
      <c r="Q48" s="14"/>
    </row>
    <row r="49" spans="2:18" ht="14.25" thickBot="1" x14ac:dyDescent="0.2">
      <c r="B49" s="13"/>
      <c r="C49" s="28" t="s">
        <v>204</v>
      </c>
      <c r="D49" s="8"/>
      <c r="F49" s="186"/>
      <c r="G49" s="186"/>
      <c r="H49" s="186"/>
      <c r="I49" s="216"/>
      <c r="J49" s="186"/>
      <c r="K49" s="186"/>
      <c r="L49" s="186"/>
      <c r="M49" s="186"/>
      <c r="N49" s="186"/>
      <c r="O49" s="201" t="str">
        <f>IF(AND(0&lt;O46,O46&lt;=6*80%),"適格","不適")</f>
        <v>不適</v>
      </c>
      <c r="P49" s="186"/>
      <c r="Q49" s="14"/>
    </row>
    <row r="50" spans="2:18" x14ac:dyDescent="0.15">
      <c r="B50" s="15"/>
      <c r="C50" s="19"/>
      <c r="D50" s="19"/>
      <c r="E50" s="3"/>
      <c r="F50" s="3"/>
      <c r="G50" s="3"/>
      <c r="H50" s="3"/>
      <c r="I50" s="3"/>
      <c r="J50" s="3"/>
      <c r="K50" s="3"/>
      <c r="L50" s="3"/>
      <c r="M50" s="3"/>
      <c r="N50" s="3"/>
      <c r="O50" s="3"/>
      <c r="P50" s="3"/>
      <c r="Q50" s="16"/>
    </row>
    <row r="51" spans="2:18" x14ac:dyDescent="0.15">
      <c r="R51" s="22" t="s">
        <v>16</v>
      </c>
    </row>
    <row r="52" spans="2:18" ht="5.25" customHeight="1" thickBot="1" x14ac:dyDescent="0.2">
      <c r="J52" s="10"/>
      <c r="K52" s="11"/>
      <c r="L52" s="11"/>
      <c r="M52" s="11"/>
      <c r="N52" s="11"/>
      <c r="O52" s="11"/>
      <c r="P52" s="11"/>
      <c r="Q52" s="12"/>
      <c r="R52" s="22"/>
    </row>
    <row r="53" spans="2:18" ht="18" thickBot="1" x14ac:dyDescent="0.2">
      <c r="J53" s="13"/>
      <c r="K53" s="220" t="s">
        <v>234</v>
      </c>
      <c r="O53" s="221" t="str">
        <f>IF(審1_建設小="適格",IF(審2_建設小="適格","〇","△"),"△")</f>
        <v>△</v>
      </c>
      <c r="Q53" s="14"/>
    </row>
    <row r="54" spans="2:18" ht="6" customHeight="1" x14ac:dyDescent="0.15">
      <c r="J54" s="15"/>
      <c r="K54" s="3"/>
      <c r="L54" s="3"/>
      <c r="M54" s="3"/>
      <c r="N54" s="3"/>
      <c r="O54" s="3"/>
      <c r="P54" s="3"/>
      <c r="Q54" s="16"/>
    </row>
  </sheetData>
  <sheetProtection algorithmName="SHA-512" hashValue="Sy6i/96SY9aLQ3t0vWlXfMUytRtRVBEXq0YI4oYUIeba84w5CL3WB9ztr2rZ2LU1VfnVY/TpZkk+C0nMQ2Mf/A==" saltValue="Yk4sdrAHkxCO2WvSwhW99g==" spinCount="100000" sheet="1" objects="1" scenarios="1"/>
  <mergeCells count="5">
    <mergeCell ref="C2:P2"/>
    <mergeCell ref="N4:P4"/>
    <mergeCell ref="D6:M6"/>
    <mergeCell ref="D7:M7"/>
    <mergeCell ref="D11:H11"/>
  </mergeCells>
  <phoneticPr fontId="1"/>
  <pageMargins left="0.7" right="0.7" top="0.75" bottom="0.75" header="0.3" footer="0.3"/>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6887-B209-4683-B21F-503AC16E232C}">
  <sheetPr codeName="Sheet11">
    <tabColor theme="6" tint="0.79998168889431442"/>
    <pageSetUpPr fitToPage="1"/>
  </sheetPr>
  <dimension ref="B2:X54"/>
  <sheetViews>
    <sheetView view="pageBreakPreview" zoomScaleNormal="100" zoomScaleSheetLayoutView="100" workbookViewId="0"/>
  </sheetViews>
  <sheetFormatPr defaultRowHeight="13.5" x14ac:dyDescent="0.15"/>
  <cols>
    <col min="1" max="2" width="2.75" customWidth="1"/>
    <col min="3" max="3" width="28.125" customWidth="1"/>
    <col min="4" max="4" width="14.125" customWidth="1"/>
    <col min="5" max="5" width="2.625" customWidth="1"/>
    <col min="6" max="6" width="6.375" customWidth="1"/>
    <col min="8" max="8" width="3.375" customWidth="1"/>
    <col min="9" max="9" width="6" customWidth="1"/>
    <col min="10" max="10" width="9.75" customWidth="1"/>
    <col min="11" max="11" width="3.375" bestFit="1" customWidth="1"/>
    <col min="12" max="12" width="6.375" customWidth="1"/>
    <col min="13" max="13" width="9.375" bestFit="1" customWidth="1"/>
    <col min="14" max="14" width="3.375" bestFit="1" customWidth="1"/>
    <col min="15" max="15" width="10" customWidth="1"/>
    <col min="16" max="16" width="8.125" customWidth="1"/>
    <col min="17" max="18" width="2.875" customWidth="1"/>
  </cols>
  <sheetData>
    <row r="2" spans="2:17" ht="24" x14ac:dyDescent="0.15">
      <c r="C2" s="318" t="s">
        <v>192</v>
      </c>
      <c r="D2" s="318"/>
      <c r="E2" s="318"/>
      <c r="F2" s="318"/>
      <c r="G2" s="318"/>
      <c r="H2" s="318"/>
      <c r="I2" s="318"/>
      <c r="J2" s="318"/>
      <c r="K2" s="318"/>
      <c r="L2" s="318"/>
      <c r="M2" s="318"/>
      <c r="N2" s="318"/>
      <c r="O2" s="318"/>
      <c r="P2" s="318"/>
    </row>
    <row r="3" spans="2:17" ht="7.5" customHeight="1" x14ac:dyDescent="0.15">
      <c r="C3" s="23"/>
      <c r="D3" s="23"/>
      <c r="E3" s="23"/>
      <c r="F3" s="23"/>
      <c r="G3" s="23"/>
      <c r="H3" s="23"/>
      <c r="I3" s="23"/>
      <c r="J3" s="23"/>
      <c r="K3" s="23"/>
      <c r="L3" s="23"/>
      <c r="M3" s="23"/>
      <c r="N3" s="23"/>
      <c r="O3" s="23"/>
      <c r="P3" s="23"/>
    </row>
    <row r="4" spans="2:17" ht="15" customHeight="1" x14ac:dyDescent="0.15">
      <c r="C4" s="49" t="str">
        <f>"【"&amp;製品カテゴリ&amp;"】"</f>
        <v>【測量機（自動視準・自動追尾機能付き高機能トータルステーション）】</v>
      </c>
      <c r="D4" s="23"/>
      <c r="E4" s="23"/>
      <c r="F4" s="23"/>
      <c r="G4" s="23"/>
      <c r="H4" s="23"/>
      <c r="I4" s="23"/>
      <c r="J4" s="23"/>
      <c r="K4" s="24"/>
      <c r="L4" s="24"/>
      <c r="M4" s="24"/>
      <c r="N4" s="664" t="s">
        <v>326</v>
      </c>
      <c r="O4" s="664"/>
      <c r="P4" s="664"/>
    </row>
    <row r="5" spans="2:17" ht="7.5" customHeight="1" x14ac:dyDescent="0.15">
      <c r="C5" s="23"/>
      <c r="D5" s="23"/>
      <c r="E5" s="23"/>
      <c r="F5" s="23"/>
      <c r="G5" s="23"/>
      <c r="H5" s="23"/>
      <c r="I5" s="23"/>
      <c r="J5" s="23"/>
      <c r="K5" s="23"/>
      <c r="L5" s="23"/>
      <c r="M5" s="23"/>
      <c r="N5" s="23"/>
      <c r="O5" s="23"/>
      <c r="P5" s="23"/>
    </row>
    <row r="6" spans="2:17" x14ac:dyDescent="0.15">
      <c r="C6" s="6" t="s">
        <v>1</v>
      </c>
      <c r="D6" s="665">
        <f>製造事業者名</f>
        <v>0</v>
      </c>
      <c r="E6" s="665"/>
      <c r="F6" s="665"/>
      <c r="G6" s="665"/>
      <c r="H6" s="665"/>
      <c r="I6" s="665"/>
      <c r="J6" s="665"/>
      <c r="K6" s="665"/>
      <c r="L6" s="665"/>
      <c r="M6" s="665"/>
    </row>
    <row r="7" spans="2:17" x14ac:dyDescent="0.15">
      <c r="C7" s="6" t="s">
        <v>2</v>
      </c>
      <c r="D7" s="665">
        <f>型番</f>
        <v>0</v>
      </c>
      <c r="E7" s="665"/>
      <c r="F7" s="665"/>
      <c r="G7" s="665"/>
      <c r="H7" s="665"/>
      <c r="I7" s="665"/>
      <c r="J7" s="665"/>
      <c r="K7" s="665"/>
      <c r="L7" s="665"/>
      <c r="M7" s="665"/>
    </row>
    <row r="9" spans="2:17" x14ac:dyDescent="0.15">
      <c r="C9" s="148" t="s">
        <v>233</v>
      </c>
      <c r="D9" s="148"/>
    </row>
    <row r="10" spans="2:17" x14ac:dyDescent="0.15">
      <c r="C10" s="148"/>
      <c r="D10" s="148"/>
    </row>
    <row r="11" spans="2:17" x14ac:dyDescent="0.15">
      <c r="C11" s="27" t="s">
        <v>193</v>
      </c>
      <c r="D11" s="666" t="s">
        <v>329</v>
      </c>
      <c r="E11" s="667"/>
      <c r="F11" s="667"/>
      <c r="G11" s="667"/>
      <c r="H11" s="668"/>
    </row>
    <row r="13" spans="2:17" ht="17.25" x14ac:dyDescent="0.15">
      <c r="B13" s="10"/>
      <c r="C13" s="18" t="s">
        <v>194</v>
      </c>
      <c r="D13" s="18"/>
      <c r="E13" s="11"/>
      <c r="F13" s="11"/>
      <c r="G13" s="11"/>
      <c r="H13" s="11"/>
      <c r="I13" s="11"/>
      <c r="J13" s="11"/>
      <c r="K13" s="11"/>
      <c r="L13" s="11"/>
      <c r="M13" s="11"/>
      <c r="N13" s="11"/>
      <c r="O13" s="11"/>
      <c r="P13" s="11"/>
      <c r="Q13" s="12"/>
    </row>
    <row r="14" spans="2:17" x14ac:dyDescent="0.15">
      <c r="B14" s="13"/>
      <c r="C14" s="7"/>
      <c r="D14" s="7"/>
      <c r="G14" s="4"/>
      <c r="J14" s="4"/>
      <c r="Q14" s="14"/>
    </row>
    <row r="15" spans="2:17" x14ac:dyDescent="0.15">
      <c r="B15" s="13"/>
      <c r="C15" s="149" t="s">
        <v>247</v>
      </c>
      <c r="D15" s="7"/>
      <c r="E15" s="152"/>
      <c r="F15" s="188">
        <v>81</v>
      </c>
      <c r="G15" s="186" t="s">
        <v>248</v>
      </c>
      <c r="H15" s="186" t="s">
        <v>199</v>
      </c>
      <c r="I15" s="189">
        <f>'利用が想定される中小企業(建設業)'!E11*'利用が想定される中小企業(建設業)'!E8</f>
        <v>45</v>
      </c>
      <c r="J15" s="186" t="s">
        <v>219</v>
      </c>
      <c r="K15" s="186" t="s">
        <v>195</v>
      </c>
      <c r="L15" s="189">
        <v>3600</v>
      </c>
      <c r="M15" s="186" t="s">
        <v>249</v>
      </c>
      <c r="N15" s="186" t="s">
        <v>196</v>
      </c>
      <c r="O15" s="190">
        <f>F15*I15/L15</f>
        <v>1.0125</v>
      </c>
      <c r="P15" s="186" t="s">
        <v>197</v>
      </c>
      <c r="Q15" s="14"/>
    </row>
    <row r="16" spans="2:17" x14ac:dyDescent="0.15">
      <c r="B16" s="13"/>
      <c r="C16" s="149" t="s">
        <v>250</v>
      </c>
      <c r="D16" s="7"/>
      <c r="E16" s="152"/>
      <c r="F16" s="188">
        <v>25</v>
      </c>
      <c r="G16" s="186" t="s">
        <v>248</v>
      </c>
      <c r="H16" s="186" t="s">
        <v>199</v>
      </c>
      <c r="I16" s="189">
        <f>'利用が想定される中小企業(建設業)'!E12*'利用が想定される中小企業(建設業)'!E11*'利用が想定される中小企業(建設業)'!E8</f>
        <v>1350</v>
      </c>
      <c r="J16" s="186" t="s">
        <v>219</v>
      </c>
      <c r="K16" s="186" t="s">
        <v>195</v>
      </c>
      <c r="L16" s="189">
        <v>3600</v>
      </c>
      <c r="M16" s="186" t="s">
        <v>249</v>
      </c>
      <c r="N16" s="186" t="s">
        <v>196</v>
      </c>
      <c r="O16" s="191">
        <f>F16*I16/L16</f>
        <v>9.375</v>
      </c>
      <c r="P16" s="186" t="s">
        <v>197</v>
      </c>
      <c r="Q16" s="14"/>
    </row>
    <row r="17" spans="2:17" x14ac:dyDescent="0.15">
      <c r="B17" s="13"/>
      <c r="C17" s="149" t="s">
        <v>251</v>
      </c>
      <c r="D17" s="7"/>
      <c r="E17" s="152"/>
      <c r="F17" s="188">
        <v>360</v>
      </c>
      <c r="G17" s="186" t="s">
        <v>248</v>
      </c>
      <c r="H17" s="186" t="s">
        <v>199</v>
      </c>
      <c r="I17" s="189">
        <f>'利用が想定される中小企業(建設業)'!E8</f>
        <v>9</v>
      </c>
      <c r="J17" s="186" t="s">
        <v>219</v>
      </c>
      <c r="K17" s="186" t="s">
        <v>195</v>
      </c>
      <c r="L17" s="189">
        <v>3600</v>
      </c>
      <c r="M17" s="186" t="s">
        <v>249</v>
      </c>
      <c r="N17" s="186" t="s">
        <v>196</v>
      </c>
      <c r="O17" s="191">
        <f>F17*I17/L17</f>
        <v>0.9</v>
      </c>
      <c r="P17" s="186" t="s">
        <v>197</v>
      </c>
      <c r="Q17" s="14"/>
    </row>
    <row r="18" spans="2:17" x14ac:dyDescent="0.15">
      <c r="B18" s="13"/>
      <c r="C18" s="150" t="s">
        <v>252</v>
      </c>
      <c r="D18" s="3"/>
      <c r="E18" s="211"/>
      <c r="F18" s="192"/>
      <c r="G18" s="193"/>
      <c r="H18" s="193"/>
      <c r="I18" s="194">
        <f>'利用が想定される中小企業(建設業)'!E8</f>
        <v>9</v>
      </c>
      <c r="J18" s="193" t="s">
        <v>253</v>
      </c>
      <c r="K18" s="193" t="s">
        <v>199</v>
      </c>
      <c r="L18" s="194">
        <f>'利用が想定される中小企業(建設業)'!E10+2</f>
        <v>4.6763888888888889</v>
      </c>
      <c r="M18" s="193" t="s">
        <v>197</v>
      </c>
      <c r="N18" s="193" t="s">
        <v>196</v>
      </c>
      <c r="O18" s="195">
        <f>I18*L18</f>
        <v>42.087499999999999</v>
      </c>
      <c r="P18" s="193" t="s">
        <v>197</v>
      </c>
      <c r="Q18" s="14"/>
    </row>
    <row r="19" spans="2:17" x14ac:dyDescent="0.15">
      <c r="B19" s="13"/>
      <c r="C19" t="s">
        <v>198</v>
      </c>
      <c r="E19" s="152"/>
      <c r="F19" s="186"/>
      <c r="G19" s="186"/>
      <c r="H19" s="186"/>
      <c r="I19" s="186"/>
      <c r="J19" s="186"/>
      <c r="K19" s="186"/>
      <c r="L19" s="186"/>
      <c r="M19" s="186"/>
      <c r="N19" s="186"/>
      <c r="O19" s="191">
        <f>SUM(O15:O18)</f>
        <v>53.375</v>
      </c>
      <c r="P19" s="186" t="s">
        <v>197</v>
      </c>
      <c r="Q19" s="14"/>
    </row>
    <row r="20" spans="2:17" x14ac:dyDescent="0.15">
      <c r="B20" s="13"/>
      <c r="C20" t="s">
        <v>254</v>
      </c>
      <c r="E20" s="152"/>
      <c r="F20" s="186"/>
      <c r="G20" s="186"/>
      <c r="H20" s="186"/>
      <c r="I20" s="186"/>
      <c r="J20" s="186"/>
      <c r="K20" s="186"/>
      <c r="L20" s="186"/>
      <c r="M20" s="186"/>
      <c r="N20" s="186"/>
      <c r="O20" s="196"/>
      <c r="P20" s="186"/>
      <c r="Q20" s="14"/>
    </row>
    <row r="21" spans="2:17" x14ac:dyDescent="0.15">
      <c r="B21" s="13"/>
      <c r="E21" s="152"/>
      <c r="F21" s="186"/>
      <c r="G21" s="186"/>
      <c r="H21" s="186"/>
      <c r="I21" s="186"/>
      <c r="J21" s="186"/>
      <c r="K21" s="186"/>
      <c r="L21" s="186"/>
      <c r="M21" s="186"/>
      <c r="N21" s="186"/>
      <c r="O21" s="196"/>
      <c r="P21" s="186"/>
      <c r="Q21" s="14"/>
    </row>
    <row r="22" spans="2:17" x14ac:dyDescent="0.15">
      <c r="B22" s="13"/>
      <c r="C22" t="s">
        <v>255</v>
      </c>
      <c r="E22" s="152"/>
      <c r="F22" s="188">
        <v>450</v>
      </c>
      <c r="G22" s="186" t="s">
        <v>248</v>
      </c>
      <c r="H22" s="186" t="s">
        <v>199</v>
      </c>
      <c r="I22" s="189">
        <f>'利用が想定される中小企業(建設業)'!E8</f>
        <v>9</v>
      </c>
      <c r="J22" s="186" t="s">
        <v>253</v>
      </c>
      <c r="K22" s="186" t="s">
        <v>195</v>
      </c>
      <c r="L22" s="189">
        <v>3600</v>
      </c>
      <c r="M22" s="186" t="s">
        <v>249</v>
      </c>
      <c r="N22" s="186" t="s">
        <v>196</v>
      </c>
      <c r="O22" s="191">
        <f>F22*I22/L22</f>
        <v>1.125</v>
      </c>
      <c r="P22" s="186" t="s">
        <v>197</v>
      </c>
      <c r="Q22" s="14"/>
    </row>
    <row r="23" spans="2:17" x14ac:dyDescent="0.15">
      <c r="B23" s="13"/>
      <c r="C23" t="s">
        <v>256</v>
      </c>
      <c r="E23" s="152"/>
      <c r="F23" s="188">
        <v>141</v>
      </c>
      <c r="G23" s="186" t="s">
        <v>248</v>
      </c>
      <c r="H23" s="186" t="s">
        <v>199</v>
      </c>
      <c r="I23" s="189">
        <f>'利用が想定される中小企業(建設業)'!E11*'利用が想定される中小企業(建設業)'!E8</f>
        <v>45</v>
      </c>
      <c r="J23" s="186" t="s">
        <v>219</v>
      </c>
      <c r="K23" s="186" t="s">
        <v>195</v>
      </c>
      <c r="L23" s="189">
        <v>3600</v>
      </c>
      <c r="M23" s="186" t="s">
        <v>249</v>
      </c>
      <c r="N23" s="186" t="s">
        <v>196</v>
      </c>
      <c r="O23" s="191">
        <f>F23*I23/L23</f>
        <v>1.7625</v>
      </c>
      <c r="P23" s="186" t="s">
        <v>197</v>
      </c>
      <c r="Q23" s="14"/>
    </row>
    <row r="24" spans="2:17" x14ac:dyDescent="0.15">
      <c r="B24" s="13"/>
      <c r="C24" t="s">
        <v>257</v>
      </c>
      <c r="E24" s="152"/>
      <c r="F24" s="188">
        <v>11</v>
      </c>
      <c r="G24" s="186" t="s">
        <v>248</v>
      </c>
      <c r="H24" s="186" t="s">
        <v>199</v>
      </c>
      <c r="I24" s="189">
        <f>'利用が想定される中小企業(建設業)'!E12*'利用が想定される中小企業(建設業)'!E11*'利用が想定される中小企業(建設業)'!E8</f>
        <v>1350</v>
      </c>
      <c r="J24" s="186" t="s">
        <v>219</v>
      </c>
      <c r="K24" s="186" t="s">
        <v>195</v>
      </c>
      <c r="L24" s="189">
        <v>3600</v>
      </c>
      <c r="M24" s="186" t="s">
        <v>249</v>
      </c>
      <c r="N24" s="186" t="s">
        <v>196</v>
      </c>
      <c r="O24" s="191">
        <f>F24*I24/L24</f>
        <v>4.125</v>
      </c>
      <c r="P24" s="186" t="s">
        <v>197</v>
      </c>
      <c r="Q24" s="14"/>
    </row>
    <row r="25" spans="2:17" x14ac:dyDescent="0.15">
      <c r="B25" s="13"/>
      <c r="C25" t="s">
        <v>258</v>
      </c>
      <c r="E25" s="152"/>
      <c r="F25" s="189">
        <v>540</v>
      </c>
      <c r="G25" s="186" t="s">
        <v>248</v>
      </c>
      <c r="H25" s="186" t="s">
        <v>199</v>
      </c>
      <c r="I25" s="189">
        <f>'利用が想定される中小企業(建設業)'!E8</f>
        <v>9</v>
      </c>
      <c r="J25" s="186" t="s">
        <v>219</v>
      </c>
      <c r="K25" s="186" t="s">
        <v>195</v>
      </c>
      <c r="L25" s="189">
        <v>3600</v>
      </c>
      <c r="M25" s="186" t="s">
        <v>249</v>
      </c>
      <c r="N25" s="186" t="s">
        <v>196</v>
      </c>
      <c r="O25" s="191">
        <f>F25*I25/L25</f>
        <v>1.35</v>
      </c>
      <c r="P25" s="186" t="s">
        <v>197</v>
      </c>
      <c r="Q25" s="14"/>
    </row>
    <row r="26" spans="2:17" x14ac:dyDescent="0.15">
      <c r="B26" s="13"/>
      <c r="C26" s="3" t="s">
        <v>259</v>
      </c>
      <c r="D26" s="3"/>
      <c r="E26" s="211"/>
      <c r="F26" s="197">
        <f>IF(自動追尾機能="有",0,9)</f>
        <v>9</v>
      </c>
      <c r="G26" s="193" t="s">
        <v>248</v>
      </c>
      <c r="H26" s="193" t="s">
        <v>199</v>
      </c>
      <c r="I26" s="194">
        <f>'利用が想定される中小企業(建設業)'!E12*'利用が想定される中小企業(建設業)'!E11*'利用が想定される中小企業(建設業)'!E8</f>
        <v>1350</v>
      </c>
      <c r="J26" s="193" t="s">
        <v>219</v>
      </c>
      <c r="K26" s="193" t="s">
        <v>195</v>
      </c>
      <c r="L26" s="194">
        <v>3600</v>
      </c>
      <c r="M26" s="193" t="s">
        <v>249</v>
      </c>
      <c r="N26" s="193" t="s">
        <v>196</v>
      </c>
      <c r="O26" s="198">
        <f>F26*I26/L26</f>
        <v>3.375</v>
      </c>
      <c r="P26" s="193" t="s">
        <v>197</v>
      </c>
      <c r="Q26" s="14"/>
    </row>
    <row r="27" spans="2:17" x14ac:dyDescent="0.15">
      <c r="B27" s="13"/>
      <c r="C27" t="s">
        <v>200</v>
      </c>
      <c r="E27" s="152"/>
      <c r="F27" s="186"/>
      <c r="G27" s="186"/>
      <c r="H27" s="186"/>
      <c r="I27" s="186"/>
      <c r="J27" s="186"/>
      <c r="K27" s="186"/>
      <c r="L27" s="186"/>
      <c r="M27" s="186"/>
      <c r="N27" s="186"/>
      <c r="O27" s="199">
        <f>SUM(O22:O26)</f>
        <v>11.737500000000001</v>
      </c>
      <c r="P27" s="186" t="s">
        <v>197</v>
      </c>
      <c r="Q27" s="14"/>
    </row>
    <row r="28" spans="2:17" x14ac:dyDescent="0.15">
      <c r="B28" s="13"/>
      <c r="C28" t="s">
        <v>260</v>
      </c>
      <c r="E28" s="152"/>
      <c r="F28" s="186"/>
      <c r="G28" s="186"/>
      <c r="H28" s="186"/>
      <c r="I28" s="186"/>
      <c r="J28" s="186"/>
      <c r="K28" s="186"/>
      <c r="L28" s="186"/>
      <c r="M28" s="186"/>
      <c r="N28" s="186"/>
      <c r="O28" s="196"/>
      <c r="P28" s="186"/>
      <c r="Q28" s="14"/>
    </row>
    <row r="29" spans="2:17" ht="14.25" thickBot="1" x14ac:dyDescent="0.2">
      <c r="B29" s="13"/>
      <c r="E29" s="152"/>
      <c r="F29" s="186"/>
      <c r="G29" s="186"/>
      <c r="H29" s="186"/>
      <c r="I29" s="186"/>
      <c r="J29" s="186"/>
      <c r="K29" s="186"/>
      <c r="L29" s="186"/>
      <c r="M29" s="186"/>
      <c r="N29" s="186"/>
      <c r="O29" s="196"/>
      <c r="P29" s="186"/>
      <c r="Q29" s="14"/>
    </row>
    <row r="30" spans="2:17" ht="14.25" thickBot="1" x14ac:dyDescent="0.2">
      <c r="B30" s="13"/>
      <c r="C30" s="8" t="s">
        <v>327</v>
      </c>
      <c r="D30" s="8"/>
      <c r="E30" s="219" t="s">
        <v>261</v>
      </c>
      <c r="F30" s="191">
        <f>O19</f>
        <v>53.375</v>
      </c>
      <c r="G30" s="186" t="s">
        <v>197</v>
      </c>
      <c r="H30" s="186" t="s">
        <v>44</v>
      </c>
      <c r="I30" s="191">
        <f>O27</f>
        <v>11.737500000000001</v>
      </c>
      <c r="J30" s="200" t="s">
        <v>333</v>
      </c>
      <c r="K30" s="186" t="s">
        <v>195</v>
      </c>
      <c r="L30" s="191">
        <f>O19</f>
        <v>53.375</v>
      </c>
      <c r="M30" s="186" t="s">
        <v>197</v>
      </c>
      <c r="N30" s="186" t="s">
        <v>201</v>
      </c>
      <c r="O30" s="201">
        <f>(F30-I30)/L30</f>
        <v>0.78009367681498831</v>
      </c>
      <c r="P30" s="186" t="s">
        <v>202</v>
      </c>
      <c r="Q30" s="14"/>
    </row>
    <row r="31" spans="2:17" x14ac:dyDescent="0.15">
      <c r="B31" s="13"/>
      <c r="C31" s="28" t="s">
        <v>203</v>
      </c>
      <c r="D31" s="28"/>
      <c r="E31" s="152"/>
      <c r="F31" s="186"/>
      <c r="G31" s="186"/>
      <c r="H31" s="186"/>
      <c r="I31" s="186"/>
      <c r="J31" s="186"/>
      <c r="K31" s="186"/>
      <c r="L31" s="186"/>
      <c r="M31" s="186"/>
      <c r="N31" s="186"/>
      <c r="O31" s="186"/>
      <c r="P31" s="186"/>
      <c r="Q31" s="14"/>
    </row>
    <row r="32" spans="2:17" ht="14.25" thickBot="1" x14ac:dyDescent="0.2">
      <c r="B32" s="13"/>
      <c r="C32" s="28"/>
      <c r="D32" s="28"/>
      <c r="E32" s="152"/>
      <c r="F32" s="186"/>
      <c r="G32" s="186"/>
      <c r="H32" s="186"/>
      <c r="I32" s="186"/>
      <c r="J32" s="186"/>
      <c r="K32" s="186"/>
      <c r="L32" s="186"/>
      <c r="M32" s="186"/>
      <c r="N32" s="186"/>
      <c r="O32" s="186"/>
      <c r="P32" s="186"/>
      <c r="Q32" s="14"/>
    </row>
    <row r="33" spans="2:24" ht="14.25" thickBot="1" x14ac:dyDescent="0.2">
      <c r="B33" s="13"/>
      <c r="C33" s="28" t="s">
        <v>204</v>
      </c>
      <c r="D33" s="28"/>
      <c r="E33" s="152"/>
      <c r="F33" s="186"/>
      <c r="G33" s="186"/>
      <c r="H33" s="186"/>
      <c r="I33" s="186"/>
      <c r="J33" s="186"/>
      <c r="K33" s="186"/>
      <c r="L33" s="186"/>
      <c r="M33" s="186"/>
      <c r="N33" s="186"/>
      <c r="O33" s="202" t="str">
        <f>IF(O30&gt;=0.2,"適格","不適")</f>
        <v>適格</v>
      </c>
      <c r="P33" s="186"/>
      <c r="Q33" s="14"/>
    </row>
    <row r="34" spans="2:24" x14ac:dyDescent="0.15">
      <c r="B34" s="15"/>
      <c r="C34" s="19"/>
      <c r="D34" s="151"/>
      <c r="E34" s="211"/>
      <c r="F34" s="193"/>
      <c r="G34" s="193"/>
      <c r="H34" s="193"/>
      <c r="I34" s="193"/>
      <c r="J34" s="193"/>
      <c r="K34" s="193"/>
      <c r="L34" s="193"/>
      <c r="M34" s="193"/>
      <c r="N34" s="193"/>
      <c r="O34" s="193"/>
      <c r="P34" s="193"/>
      <c r="Q34" s="16"/>
    </row>
    <row r="35" spans="2:24" x14ac:dyDescent="0.15">
      <c r="E35" s="152"/>
      <c r="F35" s="186"/>
      <c r="G35" s="186"/>
      <c r="H35" s="186"/>
      <c r="I35" s="186"/>
      <c r="J35" s="186"/>
      <c r="K35" s="186"/>
      <c r="L35" s="186"/>
      <c r="M35" s="186"/>
      <c r="N35" s="186"/>
      <c r="O35" s="186"/>
      <c r="P35" s="186"/>
      <c r="X35" s="9"/>
    </row>
    <row r="36" spans="2:24" ht="17.25" x14ac:dyDescent="0.15">
      <c r="B36" s="10"/>
      <c r="C36" s="18" t="s">
        <v>205</v>
      </c>
      <c r="D36" s="18"/>
      <c r="E36" s="184"/>
      <c r="F36" s="204"/>
      <c r="G36" s="204"/>
      <c r="H36" s="204"/>
      <c r="I36" s="204"/>
      <c r="J36" s="204"/>
      <c r="K36" s="204"/>
      <c r="L36" s="204"/>
      <c r="M36" s="204"/>
      <c r="N36" s="204"/>
      <c r="O36" s="204"/>
      <c r="P36" s="204"/>
      <c r="Q36" s="12"/>
    </row>
    <row r="37" spans="2:24" ht="14.25" thickBot="1" x14ac:dyDescent="0.2">
      <c r="B37" s="13"/>
      <c r="E37" s="152"/>
      <c r="F37" s="186"/>
      <c r="G37" s="186"/>
      <c r="H37" s="186"/>
      <c r="I37" s="186"/>
      <c r="J37" s="186"/>
      <c r="K37" s="186"/>
      <c r="L37" s="186"/>
      <c r="M37" s="186"/>
      <c r="N37" s="186"/>
      <c r="O37" s="186"/>
      <c r="P37" s="186"/>
      <c r="Q37" s="14"/>
    </row>
    <row r="38" spans="2:24" ht="14.25" thickBot="1" x14ac:dyDescent="0.2">
      <c r="B38" s="13"/>
      <c r="C38" t="s">
        <v>206</v>
      </c>
      <c r="E38" s="152"/>
      <c r="F38" s="186"/>
      <c r="G38" s="186"/>
      <c r="H38" s="186"/>
      <c r="I38" s="186"/>
      <c r="J38" s="186"/>
      <c r="K38" s="186"/>
      <c r="L38" s="186"/>
      <c r="M38" s="186"/>
      <c r="N38" s="186"/>
      <c r="O38" s="205">
        <f>機器費用/1000</f>
        <v>0</v>
      </c>
      <c r="P38" s="186" t="s">
        <v>207</v>
      </c>
      <c r="Q38" s="14"/>
    </row>
    <row r="39" spans="2:24" ht="14.25" thickBot="1" x14ac:dyDescent="0.2">
      <c r="B39" s="13"/>
      <c r="C39" s="3" t="s">
        <v>325</v>
      </c>
      <c r="D39" s="3"/>
      <c r="E39" s="211"/>
      <c r="F39" s="193"/>
      <c r="G39" s="193"/>
      <c r="H39" s="193"/>
      <c r="I39" s="193"/>
      <c r="J39" s="193"/>
      <c r="K39" s="193"/>
      <c r="L39" s="193"/>
      <c r="M39" s="193"/>
      <c r="N39" s="193"/>
      <c r="O39" s="206">
        <f>設定費用/1000</f>
        <v>0</v>
      </c>
      <c r="P39" s="193" t="s">
        <v>207</v>
      </c>
      <c r="Q39" s="14"/>
    </row>
    <row r="40" spans="2:24" x14ac:dyDescent="0.15">
      <c r="B40" s="13"/>
      <c r="C40" t="s">
        <v>262</v>
      </c>
      <c r="E40" s="152"/>
      <c r="F40" s="186"/>
      <c r="G40" s="186"/>
      <c r="H40" s="186"/>
      <c r="I40" s="186"/>
      <c r="J40" s="186"/>
      <c r="K40" s="186"/>
      <c r="L40" s="186"/>
      <c r="M40" s="186"/>
      <c r="N40" s="186"/>
      <c r="O40" s="207">
        <f>SUM(O38:O39)</f>
        <v>0</v>
      </c>
      <c r="P40" s="186" t="s">
        <v>209</v>
      </c>
      <c r="Q40" s="14"/>
    </row>
    <row r="41" spans="2:24" x14ac:dyDescent="0.15">
      <c r="B41" s="13"/>
      <c r="E41" s="152"/>
      <c r="F41" s="186"/>
      <c r="G41" s="186"/>
      <c r="H41" s="186"/>
      <c r="I41" s="186"/>
      <c r="J41" s="186"/>
      <c r="K41" s="186"/>
      <c r="L41" s="186"/>
      <c r="M41" s="186"/>
      <c r="N41" s="186"/>
      <c r="O41" s="208"/>
      <c r="P41" s="186"/>
      <c r="Q41" s="14"/>
      <c r="V41" s="152"/>
    </row>
    <row r="42" spans="2:24" x14ac:dyDescent="0.15">
      <c r="B42" s="13"/>
      <c r="C42" t="s">
        <v>210</v>
      </c>
      <c r="E42" s="152"/>
      <c r="F42" s="209">
        <f>'利用が想定される中小企業(建設業)'!$E$3</f>
        <v>2.0339999999999998</v>
      </c>
      <c r="G42" s="186" t="s">
        <v>263</v>
      </c>
      <c r="H42" s="186" t="s">
        <v>199</v>
      </c>
      <c r="I42" s="210">
        <f>(O19-O27)/'利用が想定される中小企業(建設業)'!E14</f>
        <v>4.6263888888888891</v>
      </c>
      <c r="J42" s="186" t="s">
        <v>208</v>
      </c>
      <c r="K42" s="186" t="s">
        <v>199</v>
      </c>
      <c r="L42" s="189">
        <f>'利用が想定される中小企業(建設業)'!E9</f>
        <v>120</v>
      </c>
      <c r="M42" s="186" t="s">
        <v>211</v>
      </c>
      <c r="N42" s="186" t="s">
        <v>196</v>
      </c>
      <c r="O42" s="207">
        <f>F42*I42*L42</f>
        <v>1129.2089999999998</v>
      </c>
      <c r="P42" s="186" t="s">
        <v>212</v>
      </c>
      <c r="Q42" s="14"/>
    </row>
    <row r="43" spans="2:24" x14ac:dyDescent="0.15">
      <c r="B43" s="13"/>
      <c r="C43" s="3" t="s">
        <v>213</v>
      </c>
      <c r="D43" s="3"/>
      <c r="E43" s="211"/>
      <c r="F43" s="211"/>
      <c r="G43" s="211"/>
      <c r="H43" s="211"/>
      <c r="I43" s="212">
        <f>'利用が想定される中小企業(建設業)'!$E$4</f>
        <v>825</v>
      </c>
      <c r="J43" s="193" t="s">
        <v>214</v>
      </c>
      <c r="K43" s="193" t="s">
        <v>199</v>
      </c>
      <c r="L43" s="213">
        <f>(O19-O27)/8/'利用が想定される中小企業(建設業)'!E14</f>
        <v>0.57829861111111114</v>
      </c>
      <c r="M43" s="193" t="s">
        <v>264</v>
      </c>
      <c r="N43" s="193" t="s">
        <v>196</v>
      </c>
      <c r="O43" s="214">
        <f>I43*L43</f>
        <v>477.09635416666669</v>
      </c>
      <c r="P43" s="193" t="s">
        <v>212</v>
      </c>
      <c r="Q43" s="14"/>
    </row>
    <row r="44" spans="2:24" x14ac:dyDescent="0.15">
      <c r="B44" s="13"/>
      <c r="C44" t="s">
        <v>215</v>
      </c>
      <c r="E44" s="152"/>
      <c r="F44" s="186"/>
      <c r="G44" s="186"/>
      <c r="H44" s="186"/>
      <c r="I44" s="215"/>
      <c r="J44" s="186"/>
      <c r="K44" s="186"/>
      <c r="L44" s="186"/>
      <c r="M44" s="186"/>
      <c r="N44" s="186"/>
      <c r="O44" s="207">
        <f>SUM(O42:O43)</f>
        <v>1606.3053541666666</v>
      </c>
      <c r="P44" s="186"/>
      <c r="Q44" s="14"/>
    </row>
    <row r="45" spans="2:24" ht="14.25" thickBot="1" x14ac:dyDescent="0.2">
      <c r="B45" s="13"/>
      <c r="E45" s="152"/>
      <c r="F45" s="186"/>
      <c r="G45" s="186"/>
      <c r="H45" s="186"/>
      <c r="I45" s="186"/>
      <c r="J45" s="186"/>
      <c r="K45" s="186"/>
      <c r="L45" s="186"/>
      <c r="M45" s="186"/>
      <c r="N45" s="186"/>
      <c r="O45" s="208"/>
      <c r="P45" s="186"/>
      <c r="Q45" s="14"/>
    </row>
    <row r="46" spans="2:24" ht="14.25" thickBot="1" x14ac:dyDescent="0.2">
      <c r="B46" s="13"/>
      <c r="C46" s="8" t="s">
        <v>216</v>
      </c>
      <c r="D46" s="8"/>
      <c r="E46" s="152"/>
      <c r="F46" s="152"/>
      <c r="G46" s="186"/>
      <c r="H46" s="186"/>
      <c r="I46" s="207">
        <f>O40</f>
        <v>0</v>
      </c>
      <c r="J46" s="186" t="s">
        <v>209</v>
      </c>
      <c r="K46" s="186" t="s">
        <v>195</v>
      </c>
      <c r="L46" s="207">
        <f>O44</f>
        <v>1606.3053541666666</v>
      </c>
      <c r="M46" s="186" t="s">
        <v>212</v>
      </c>
      <c r="N46" s="186" t="s">
        <v>196</v>
      </c>
      <c r="O46" s="201">
        <f>IF(L46&lt;=0,0,I46/L46)</f>
        <v>0</v>
      </c>
      <c r="P46" s="186" t="s">
        <v>217</v>
      </c>
      <c r="Q46" s="14"/>
    </row>
    <row r="47" spans="2:24" x14ac:dyDescent="0.15">
      <c r="B47" s="13"/>
      <c r="C47" s="28" t="s">
        <v>218</v>
      </c>
      <c r="D47" s="8"/>
      <c r="E47" s="152"/>
      <c r="F47" s="186"/>
      <c r="G47" s="186"/>
      <c r="H47" s="186"/>
      <c r="I47" s="216"/>
      <c r="J47" s="186"/>
      <c r="K47" s="186"/>
      <c r="L47" s="186"/>
      <c r="M47" s="186"/>
      <c r="N47" s="186"/>
      <c r="O47" s="196"/>
      <c r="P47" s="186"/>
      <c r="Q47" s="14"/>
    </row>
    <row r="48" spans="2:24" ht="14.25" thickBot="1" x14ac:dyDescent="0.2">
      <c r="B48" s="13"/>
      <c r="C48" s="28"/>
      <c r="D48" s="8"/>
      <c r="E48" s="152"/>
      <c r="F48" s="186"/>
      <c r="G48" s="186"/>
      <c r="H48" s="186"/>
      <c r="I48" s="216"/>
      <c r="J48" s="186"/>
      <c r="K48" s="186"/>
      <c r="L48" s="186"/>
      <c r="M48" s="186"/>
      <c r="N48" s="186"/>
      <c r="O48" s="196"/>
      <c r="P48" s="186"/>
      <c r="Q48" s="14"/>
    </row>
    <row r="49" spans="2:18" ht="14.25" thickBot="1" x14ac:dyDescent="0.2">
      <c r="B49" s="13"/>
      <c r="C49" s="28" t="s">
        <v>204</v>
      </c>
      <c r="D49" s="8"/>
      <c r="E49" s="152"/>
      <c r="F49" s="186"/>
      <c r="G49" s="186"/>
      <c r="H49" s="186"/>
      <c r="I49" s="216"/>
      <c r="J49" s="186"/>
      <c r="K49" s="186"/>
      <c r="L49" s="186"/>
      <c r="M49" s="186"/>
      <c r="N49" s="186"/>
      <c r="O49" s="201" t="str">
        <f>IF(AND(0&lt;O46,O46&lt;=6*80%),"適格","不適")</f>
        <v>不適</v>
      </c>
      <c r="P49" s="186"/>
      <c r="Q49" s="14"/>
    </row>
    <row r="50" spans="2:18" x14ac:dyDescent="0.15">
      <c r="B50" s="15"/>
      <c r="C50" s="19"/>
      <c r="D50" s="19"/>
      <c r="E50" s="3"/>
      <c r="F50" s="3"/>
      <c r="G50" s="3"/>
      <c r="H50" s="3"/>
      <c r="I50" s="3"/>
      <c r="J50" s="3"/>
      <c r="K50" s="3"/>
      <c r="L50" s="3"/>
      <c r="M50" s="3"/>
      <c r="N50" s="3"/>
      <c r="O50" s="3"/>
      <c r="P50" s="3"/>
      <c r="Q50" s="16"/>
    </row>
    <row r="51" spans="2:18" x14ac:dyDescent="0.15">
      <c r="R51" s="22" t="s">
        <v>16</v>
      </c>
    </row>
    <row r="52" spans="2:18" ht="5.25" customHeight="1" thickBot="1" x14ac:dyDescent="0.2">
      <c r="J52" s="10"/>
      <c r="K52" s="11"/>
      <c r="L52" s="11"/>
      <c r="M52" s="11"/>
      <c r="N52" s="11"/>
      <c r="O52" s="11"/>
      <c r="P52" s="11"/>
      <c r="Q52" s="12"/>
      <c r="R52" s="22"/>
    </row>
    <row r="53" spans="2:18" ht="18" thickBot="1" x14ac:dyDescent="0.2">
      <c r="J53" s="13"/>
      <c r="K53" s="220" t="s">
        <v>234</v>
      </c>
      <c r="O53" s="221" t="str">
        <f>IF(審1_建設中="適格",IF(審2_建設中="適格","〇","△"),"△")</f>
        <v>△</v>
      </c>
      <c r="Q53" s="14"/>
    </row>
    <row r="54" spans="2:18" ht="6" customHeight="1" x14ac:dyDescent="0.15">
      <c r="J54" s="15"/>
      <c r="K54" s="3"/>
      <c r="L54" s="3"/>
      <c r="M54" s="3"/>
      <c r="N54" s="3"/>
      <c r="O54" s="3"/>
      <c r="P54" s="3"/>
      <c r="Q54" s="16"/>
    </row>
  </sheetData>
  <sheetProtection algorithmName="SHA-512" hashValue="8tX0HDty7/6kMKb3YlZcR6IC0lRUTqPElx5zFOeMP7xGRFgKvhSKZivOwlMSPTLzhsdLiw/LZ3QWcfMSWZ9HGg==" saltValue="6FM2HWkimrQpxDloJEqTZg==" spinCount="100000" sheet="1" objects="1" scenarios="1"/>
  <mergeCells count="5">
    <mergeCell ref="C2:P2"/>
    <mergeCell ref="N4:P4"/>
    <mergeCell ref="D6:M6"/>
    <mergeCell ref="D7:M7"/>
    <mergeCell ref="D11:H11"/>
  </mergeCells>
  <phoneticPr fontId="1"/>
  <pageMargins left="0.7" right="0.7" top="0.75" bottom="0.75" header="0.3" footer="0.3"/>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C64F8-EEB8-484B-AFF6-76D3D6C2E4DA}">
  <sheetPr codeName="Sheet12">
    <tabColor theme="6" tint="0.79998168889431442"/>
    <pageSetUpPr fitToPage="1"/>
  </sheetPr>
  <dimension ref="B2:X54"/>
  <sheetViews>
    <sheetView view="pageBreakPreview" zoomScaleNormal="100" zoomScaleSheetLayoutView="100" workbookViewId="0"/>
  </sheetViews>
  <sheetFormatPr defaultRowHeight="13.5" x14ac:dyDescent="0.15"/>
  <cols>
    <col min="1" max="2" width="2.75" customWidth="1"/>
    <col min="3" max="3" width="28.125" customWidth="1"/>
    <col min="4" max="4" width="14.125" customWidth="1"/>
    <col min="5" max="5" width="2.625" customWidth="1"/>
    <col min="6" max="6" width="6.375" customWidth="1"/>
    <col min="8" max="8" width="3.375" customWidth="1"/>
    <col min="9" max="9" width="6" customWidth="1"/>
    <col min="10" max="10" width="9.75" customWidth="1"/>
    <col min="11" max="11" width="3.375" bestFit="1" customWidth="1"/>
    <col min="12" max="12" width="6.375" customWidth="1"/>
    <col min="13" max="13" width="9.375" bestFit="1" customWidth="1"/>
    <col min="14" max="14" width="3.375" bestFit="1" customWidth="1"/>
    <col min="15" max="15" width="10" customWidth="1"/>
    <col min="16" max="16" width="8.125" customWidth="1"/>
    <col min="17" max="18" width="2.875" customWidth="1"/>
  </cols>
  <sheetData>
    <row r="2" spans="2:17" ht="24" x14ac:dyDescent="0.15">
      <c r="C2" s="318" t="s">
        <v>192</v>
      </c>
      <c r="D2" s="318"/>
      <c r="E2" s="318"/>
      <c r="F2" s="318"/>
      <c r="G2" s="318"/>
      <c r="H2" s="318"/>
      <c r="I2" s="318"/>
      <c r="J2" s="318"/>
      <c r="K2" s="318"/>
      <c r="L2" s="318"/>
      <c r="M2" s="318"/>
      <c r="N2" s="318"/>
      <c r="O2" s="318"/>
      <c r="P2" s="318"/>
    </row>
    <row r="3" spans="2:17" ht="7.5" customHeight="1" x14ac:dyDescent="0.15">
      <c r="C3" s="23"/>
      <c r="D3" s="23"/>
      <c r="E3" s="23"/>
      <c r="F3" s="23"/>
      <c r="G3" s="23"/>
      <c r="H3" s="23"/>
      <c r="I3" s="23"/>
      <c r="J3" s="23"/>
      <c r="K3" s="23"/>
      <c r="L3" s="23"/>
      <c r="M3" s="23"/>
      <c r="N3" s="23"/>
      <c r="O3" s="23"/>
      <c r="P3" s="23"/>
    </row>
    <row r="4" spans="2:17" ht="15" customHeight="1" x14ac:dyDescent="0.15">
      <c r="C4" s="49" t="str">
        <f>"【"&amp;製品カテゴリ&amp;"】"</f>
        <v>【測量機（自動視準・自動追尾機能付き高機能トータルステーション）】</v>
      </c>
      <c r="D4" s="23"/>
      <c r="E4" s="23"/>
      <c r="F4" s="23"/>
      <c r="G4" s="23"/>
      <c r="H4" s="23"/>
      <c r="I4" s="23"/>
      <c r="J4" s="23"/>
      <c r="K4" s="24"/>
      <c r="L4" s="24"/>
      <c r="M4" s="24"/>
      <c r="N4" s="664" t="s">
        <v>326</v>
      </c>
      <c r="O4" s="664"/>
      <c r="P4" s="664"/>
    </row>
    <row r="5" spans="2:17" ht="7.5" customHeight="1" x14ac:dyDescent="0.15">
      <c r="C5" s="23"/>
      <c r="D5" s="23"/>
      <c r="E5" s="23"/>
      <c r="F5" s="23"/>
      <c r="G5" s="23"/>
      <c r="H5" s="23"/>
      <c r="I5" s="23"/>
      <c r="J5" s="23"/>
      <c r="K5" s="23"/>
      <c r="L5" s="23"/>
      <c r="M5" s="23"/>
      <c r="N5" s="23"/>
      <c r="O5" s="23"/>
      <c r="P5" s="23"/>
    </row>
    <row r="6" spans="2:17" x14ac:dyDescent="0.15">
      <c r="C6" s="6" t="s">
        <v>1</v>
      </c>
      <c r="D6" s="665">
        <f>製造事業者名</f>
        <v>0</v>
      </c>
      <c r="E6" s="665"/>
      <c r="F6" s="665"/>
      <c r="G6" s="665"/>
      <c r="H6" s="665"/>
      <c r="I6" s="665"/>
      <c r="J6" s="665"/>
      <c r="K6" s="665"/>
      <c r="L6" s="665"/>
      <c r="M6" s="665"/>
    </row>
    <row r="7" spans="2:17" x14ac:dyDescent="0.15">
      <c r="C7" s="6" t="s">
        <v>2</v>
      </c>
      <c r="D7" s="665">
        <f>型番</f>
        <v>0</v>
      </c>
      <c r="E7" s="665"/>
      <c r="F7" s="665"/>
      <c r="G7" s="665"/>
      <c r="H7" s="665"/>
      <c r="I7" s="665"/>
      <c r="J7" s="665"/>
      <c r="K7" s="665"/>
      <c r="L7" s="665"/>
      <c r="M7" s="665"/>
    </row>
    <row r="9" spans="2:17" x14ac:dyDescent="0.15">
      <c r="C9" s="148" t="s">
        <v>233</v>
      </c>
      <c r="D9" s="148"/>
    </row>
    <row r="10" spans="2:17" x14ac:dyDescent="0.15">
      <c r="C10" s="148"/>
      <c r="D10" s="148"/>
    </row>
    <row r="11" spans="2:17" x14ac:dyDescent="0.15">
      <c r="C11" s="27" t="s">
        <v>193</v>
      </c>
      <c r="D11" s="666" t="s">
        <v>330</v>
      </c>
      <c r="E11" s="667"/>
      <c r="F11" s="667"/>
      <c r="G11" s="667"/>
      <c r="H11" s="668"/>
    </row>
    <row r="13" spans="2:17" ht="17.25" x14ac:dyDescent="0.15">
      <c r="B13" s="10"/>
      <c r="C13" s="18" t="s">
        <v>194</v>
      </c>
      <c r="D13" s="18"/>
      <c r="E13" s="11"/>
      <c r="F13" s="11"/>
      <c r="G13" s="11"/>
      <c r="H13" s="11"/>
      <c r="I13" s="11"/>
      <c r="J13" s="11"/>
      <c r="K13" s="11"/>
      <c r="L13" s="11"/>
      <c r="M13" s="11"/>
      <c r="N13" s="11"/>
      <c r="O13" s="11"/>
      <c r="P13" s="11"/>
      <c r="Q13" s="12"/>
    </row>
    <row r="14" spans="2:17" x14ac:dyDescent="0.15">
      <c r="B14" s="13"/>
      <c r="C14" s="7"/>
      <c r="D14" s="7"/>
      <c r="G14" s="4"/>
      <c r="J14" s="4"/>
      <c r="Q14" s="14"/>
    </row>
    <row r="15" spans="2:17" x14ac:dyDescent="0.15">
      <c r="B15" s="13"/>
      <c r="C15" s="149" t="s">
        <v>247</v>
      </c>
      <c r="D15" s="7"/>
      <c r="F15" s="188">
        <v>81</v>
      </c>
      <c r="G15" s="186" t="s">
        <v>248</v>
      </c>
      <c r="H15" s="186" t="s">
        <v>199</v>
      </c>
      <c r="I15" s="189">
        <f>'利用が想定される中小企業(建設業)'!F11*'利用が想定される中小企業(建設業)'!F8</f>
        <v>60</v>
      </c>
      <c r="J15" s="186" t="s">
        <v>219</v>
      </c>
      <c r="K15" s="186" t="s">
        <v>195</v>
      </c>
      <c r="L15" s="189">
        <v>3600</v>
      </c>
      <c r="M15" s="186" t="s">
        <v>249</v>
      </c>
      <c r="N15" s="186" t="s">
        <v>196</v>
      </c>
      <c r="O15" s="190">
        <f>F15*I15/L15</f>
        <v>1.35</v>
      </c>
      <c r="P15" s="186" t="s">
        <v>197</v>
      </c>
      <c r="Q15" s="14"/>
    </row>
    <row r="16" spans="2:17" x14ac:dyDescent="0.15">
      <c r="B16" s="13"/>
      <c r="C16" s="149" t="s">
        <v>250</v>
      </c>
      <c r="D16" s="7"/>
      <c r="F16" s="188">
        <v>25</v>
      </c>
      <c r="G16" s="186" t="s">
        <v>248</v>
      </c>
      <c r="H16" s="186" t="s">
        <v>199</v>
      </c>
      <c r="I16" s="189">
        <f>'利用が想定される中小企業(建設業)'!F12*'利用が想定される中小企業(建設業)'!F11*'利用が想定される中小企業(建設業)'!F8</f>
        <v>1800</v>
      </c>
      <c r="J16" s="186" t="s">
        <v>219</v>
      </c>
      <c r="K16" s="186" t="s">
        <v>195</v>
      </c>
      <c r="L16" s="189">
        <v>3600</v>
      </c>
      <c r="M16" s="186" t="s">
        <v>249</v>
      </c>
      <c r="N16" s="186" t="s">
        <v>196</v>
      </c>
      <c r="O16" s="191">
        <f>F16*I16/L16</f>
        <v>12.5</v>
      </c>
      <c r="P16" s="186" t="s">
        <v>197</v>
      </c>
      <c r="Q16" s="14"/>
    </row>
    <row r="17" spans="2:17" x14ac:dyDescent="0.15">
      <c r="B17" s="13"/>
      <c r="C17" s="149" t="s">
        <v>251</v>
      </c>
      <c r="D17" s="7"/>
      <c r="F17" s="188">
        <v>360</v>
      </c>
      <c r="G17" s="186" t="s">
        <v>248</v>
      </c>
      <c r="H17" s="186" t="s">
        <v>199</v>
      </c>
      <c r="I17" s="189">
        <f>'利用が想定される中小企業(建設業)'!F8</f>
        <v>12</v>
      </c>
      <c r="J17" s="186" t="s">
        <v>219</v>
      </c>
      <c r="K17" s="186" t="s">
        <v>195</v>
      </c>
      <c r="L17" s="189">
        <v>3600</v>
      </c>
      <c r="M17" s="186" t="s">
        <v>249</v>
      </c>
      <c r="N17" s="186" t="s">
        <v>196</v>
      </c>
      <c r="O17" s="191">
        <f>F17*I17/L17</f>
        <v>1.2</v>
      </c>
      <c r="P17" s="186" t="s">
        <v>197</v>
      </c>
      <c r="Q17" s="14"/>
    </row>
    <row r="18" spans="2:17" x14ac:dyDescent="0.15">
      <c r="B18" s="13"/>
      <c r="C18" s="150" t="s">
        <v>252</v>
      </c>
      <c r="D18" s="3"/>
      <c r="E18" s="3"/>
      <c r="F18" s="192"/>
      <c r="G18" s="193"/>
      <c r="H18" s="193"/>
      <c r="I18" s="194">
        <f>'利用が想定される中小企業(建設業)'!F8</f>
        <v>12</v>
      </c>
      <c r="J18" s="193" t="s">
        <v>253</v>
      </c>
      <c r="K18" s="193" t="s">
        <v>199</v>
      </c>
      <c r="L18" s="194">
        <f>'利用が想定される中小企業(建設業)'!F10+2</f>
        <v>4.6763888888888889</v>
      </c>
      <c r="M18" s="193" t="s">
        <v>197</v>
      </c>
      <c r="N18" s="193" t="s">
        <v>196</v>
      </c>
      <c r="O18" s="195">
        <f>I18*L18</f>
        <v>56.116666666666667</v>
      </c>
      <c r="P18" s="193" t="s">
        <v>197</v>
      </c>
      <c r="Q18" s="14"/>
    </row>
    <row r="19" spans="2:17" x14ac:dyDescent="0.15">
      <c r="B19" s="13"/>
      <c r="C19" t="s">
        <v>198</v>
      </c>
      <c r="F19" s="186"/>
      <c r="G19" s="186"/>
      <c r="H19" s="186"/>
      <c r="I19" s="186"/>
      <c r="J19" s="186"/>
      <c r="K19" s="186"/>
      <c r="L19" s="186"/>
      <c r="M19" s="186"/>
      <c r="N19" s="186"/>
      <c r="O19" s="191">
        <f>SUM(O15:O18)</f>
        <v>71.166666666666671</v>
      </c>
      <c r="P19" s="186" t="s">
        <v>197</v>
      </c>
      <c r="Q19" s="14"/>
    </row>
    <row r="20" spans="2:17" x14ac:dyDescent="0.15">
      <c r="B20" s="13"/>
      <c r="C20" t="s">
        <v>254</v>
      </c>
      <c r="F20" s="186"/>
      <c r="G20" s="186"/>
      <c r="H20" s="186"/>
      <c r="I20" s="186"/>
      <c r="J20" s="186"/>
      <c r="K20" s="186"/>
      <c r="L20" s="186"/>
      <c r="M20" s="186"/>
      <c r="N20" s="186"/>
      <c r="O20" s="196"/>
      <c r="P20" s="186"/>
      <c r="Q20" s="14"/>
    </row>
    <row r="21" spans="2:17" x14ac:dyDescent="0.15">
      <c r="B21" s="13"/>
      <c r="F21" s="186"/>
      <c r="G21" s="186"/>
      <c r="H21" s="186"/>
      <c r="I21" s="186"/>
      <c r="J21" s="186"/>
      <c r="K21" s="186"/>
      <c r="L21" s="186"/>
      <c r="M21" s="186"/>
      <c r="N21" s="186"/>
      <c r="O21" s="196"/>
      <c r="P21" s="186"/>
      <c r="Q21" s="14"/>
    </row>
    <row r="22" spans="2:17" x14ac:dyDescent="0.15">
      <c r="B22" s="13"/>
      <c r="C22" t="s">
        <v>255</v>
      </c>
      <c r="F22" s="188">
        <v>450</v>
      </c>
      <c r="G22" s="186" t="s">
        <v>248</v>
      </c>
      <c r="H22" s="186" t="s">
        <v>199</v>
      </c>
      <c r="I22" s="189">
        <f>'利用が想定される中小企業(建設業)'!F8</f>
        <v>12</v>
      </c>
      <c r="J22" s="186" t="s">
        <v>253</v>
      </c>
      <c r="K22" s="186" t="s">
        <v>195</v>
      </c>
      <c r="L22" s="189">
        <v>3600</v>
      </c>
      <c r="M22" s="186" t="s">
        <v>249</v>
      </c>
      <c r="N22" s="186" t="s">
        <v>196</v>
      </c>
      <c r="O22" s="191">
        <f>F22*I22/L22</f>
        <v>1.5</v>
      </c>
      <c r="P22" s="186" t="s">
        <v>197</v>
      </c>
      <c r="Q22" s="14"/>
    </row>
    <row r="23" spans="2:17" x14ac:dyDescent="0.15">
      <c r="B23" s="13"/>
      <c r="C23" t="s">
        <v>256</v>
      </c>
      <c r="F23" s="188">
        <v>141</v>
      </c>
      <c r="G23" s="186" t="s">
        <v>248</v>
      </c>
      <c r="H23" s="186" t="s">
        <v>199</v>
      </c>
      <c r="I23" s="189">
        <f>'利用が想定される中小企業(建設業)'!F11*'利用が想定される中小企業(建設業)'!F8</f>
        <v>60</v>
      </c>
      <c r="J23" s="186" t="s">
        <v>219</v>
      </c>
      <c r="K23" s="186" t="s">
        <v>195</v>
      </c>
      <c r="L23" s="189">
        <v>3600</v>
      </c>
      <c r="M23" s="186" t="s">
        <v>249</v>
      </c>
      <c r="N23" s="186" t="s">
        <v>196</v>
      </c>
      <c r="O23" s="191">
        <f>F23*I23/L23</f>
        <v>2.35</v>
      </c>
      <c r="P23" s="186" t="s">
        <v>197</v>
      </c>
      <c r="Q23" s="14"/>
    </row>
    <row r="24" spans="2:17" x14ac:dyDescent="0.15">
      <c r="B24" s="13"/>
      <c r="C24" t="s">
        <v>257</v>
      </c>
      <c r="F24" s="188">
        <v>11</v>
      </c>
      <c r="G24" s="186" t="s">
        <v>248</v>
      </c>
      <c r="H24" s="186" t="s">
        <v>199</v>
      </c>
      <c r="I24" s="189">
        <f>'利用が想定される中小企業(建設業)'!F12*'利用が想定される中小企業(建設業)'!F11*'利用が想定される中小企業(建設業)'!F8</f>
        <v>1800</v>
      </c>
      <c r="J24" s="186" t="s">
        <v>219</v>
      </c>
      <c r="K24" s="186" t="s">
        <v>195</v>
      </c>
      <c r="L24" s="189">
        <v>3600</v>
      </c>
      <c r="M24" s="186" t="s">
        <v>249</v>
      </c>
      <c r="N24" s="186" t="s">
        <v>196</v>
      </c>
      <c r="O24" s="191">
        <f>F24*I24/L24</f>
        <v>5.5</v>
      </c>
      <c r="P24" s="186" t="s">
        <v>197</v>
      </c>
      <c r="Q24" s="14"/>
    </row>
    <row r="25" spans="2:17" x14ac:dyDescent="0.15">
      <c r="B25" s="13"/>
      <c r="C25" t="s">
        <v>258</v>
      </c>
      <c r="F25" s="189">
        <v>540</v>
      </c>
      <c r="G25" s="186" t="s">
        <v>248</v>
      </c>
      <c r="H25" s="186" t="s">
        <v>199</v>
      </c>
      <c r="I25" s="189">
        <f>'利用が想定される中小企業(建設業)'!F8</f>
        <v>12</v>
      </c>
      <c r="J25" s="186" t="s">
        <v>219</v>
      </c>
      <c r="K25" s="186" t="s">
        <v>195</v>
      </c>
      <c r="L25" s="189">
        <v>3600</v>
      </c>
      <c r="M25" s="186" t="s">
        <v>249</v>
      </c>
      <c r="N25" s="186" t="s">
        <v>196</v>
      </c>
      <c r="O25" s="191">
        <f>F25*I25/L25</f>
        <v>1.8</v>
      </c>
      <c r="P25" s="186" t="s">
        <v>197</v>
      </c>
      <c r="Q25" s="14"/>
    </row>
    <row r="26" spans="2:17" x14ac:dyDescent="0.15">
      <c r="B26" s="13"/>
      <c r="C26" s="3" t="s">
        <v>259</v>
      </c>
      <c r="D26" s="3"/>
      <c r="E26" s="3"/>
      <c r="F26" s="197">
        <f>IF(自動追尾機能="有",0,9)</f>
        <v>9</v>
      </c>
      <c r="G26" s="193" t="s">
        <v>248</v>
      </c>
      <c r="H26" s="193" t="s">
        <v>199</v>
      </c>
      <c r="I26" s="194">
        <f>'利用が想定される中小企業(建設業)'!F12*'利用が想定される中小企業(建設業)'!F11*'利用が想定される中小企業(建設業)'!F8</f>
        <v>1800</v>
      </c>
      <c r="J26" s="193" t="s">
        <v>219</v>
      </c>
      <c r="K26" s="193" t="s">
        <v>195</v>
      </c>
      <c r="L26" s="194">
        <v>3600</v>
      </c>
      <c r="M26" s="193" t="s">
        <v>249</v>
      </c>
      <c r="N26" s="193" t="s">
        <v>196</v>
      </c>
      <c r="O26" s="198">
        <f>F26*I26/L26</f>
        <v>4.5</v>
      </c>
      <c r="P26" s="193" t="s">
        <v>197</v>
      </c>
      <c r="Q26" s="14"/>
    </row>
    <row r="27" spans="2:17" x14ac:dyDescent="0.15">
      <c r="B27" s="13"/>
      <c r="C27" t="s">
        <v>200</v>
      </c>
      <c r="F27" s="186"/>
      <c r="G27" s="186"/>
      <c r="H27" s="186"/>
      <c r="I27" s="186"/>
      <c r="J27" s="186"/>
      <c r="K27" s="186"/>
      <c r="L27" s="186"/>
      <c r="M27" s="186"/>
      <c r="N27" s="186"/>
      <c r="O27" s="199">
        <f>SUM(O22:O26)</f>
        <v>15.65</v>
      </c>
      <c r="P27" s="186" t="s">
        <v>197</v>
      </c>
      <c r="Q27" s="14"/>
    </row>
    <row r="28" spans="2:17" x14ac:dyDescent="0.15">
      <c r="B28" s="13"/>
      <c r="C28" t="s">
        <v>260</v>
      </c>
      <c r="F28" s="186"/>
      <c r="G28" s="186"/>
      <c r="H28" s="186"/>
      <c r="I28" s="186"/>
      <c r="J28" s="186"/>
      <c r="K28" s="186"/>
      <c r="L28" s="186"/>
      <c r="M28" s="186"/>
      <c r="N28" s="186"/>
      <c r="O28" s="196"/>
      <c r="P28" s="186"/>
      <c r="Q28" s="14"/>
    </row>
    <row r="29" spans="2:17" ht="14.25" thickBot="1" x14ac:dyDescent="0.2">
      <c r="B29" s="13"/>
      <c r="F29" s="186"/>
      <c r="G29" s="186"/>
      <c r="H29" s="186"/>
      <c r="I29" s="186"/>
      <c r="J29" s="186"/>
      <c r="K29" s="186"/>
      <c r="L29" s="186"/>
      <c r="M29" s="186"/>
      <c r="N29" s="186"/>
      <c r="O29" s="196"/>
      <c r="P29" s="186"/>
      <c r="Q29" s="14"/>
    </row>
    <row r="30" spans="2:17" ht="14.25" thickBot="1" x14ac:dyDescent="0.2">
      <c r="B30" s="13"/>
      <c r="C30" s="8" t="s">
        <v>327</v>
      </c>
      <c r="D30" s="8"/>
      <c r="E30" s="6" t="s">
        <v>261</v>
      </c>
      <c r="F30" s="191">
        <f>O19</f>
        <v>71.166666666666671</v>
      </c>
      <c r="G30" s="186" t="s">
        <v>197</v>
      </c>
      <c r="H30" s="186" t="s">
        <v>44</v>
      </c>
      <c r="I30" s="191">
        <f>O27</f>
        <v>15.65</v>
      </c>
      <c r="J30" s="200" t="s">
        <v>333</v>
      </c>
      <c r="K30" s="186" t="s">
        <v>195</v>
      </c>
      <c r="L30" s="191">
        <f>O19</f>
        <v>71.166666666666671</v>
      </c>
      <c r="M30" s="186" t="s">
        <v>197</v>
      </c>
      <c r="N30" s="186" t="s">
        <v>201</v>
      </c>
      <c r="O30" s="201">
        <f>(F30-I30)/L30</f>
        <v>0.78009367681498831</v>
      </c>
      <c r="P30" s="186" t="s">
        <v>202</v>
      </c>
      <c r="Q30" s="14"/>
    </row>
    <row r="31" spans="2:17" x14ac:dyDescent="0.15">
      <c r="B31" s="13"/>
      <c r="C31" s="28" t="s">
        <v>203</v>
      </c>
      <c r="D31" s="28"/>
      <c r="F31" s="186"/>
      <c r="G31" s="186"/>
      <c r="H31" s="186"/>
      <c r="I31" s="186"/>
      <c r="J31" s="186"/>
      <c r="K31" s="186"/>
      <c r="L31" s="186"/>
      <c r="M31" s="186"/>
      <c r="N31" s="186"/>
      <c r="O31" s="186"/>
      <c r="P31" s="186"/>
      <c r="Q31" s="14"/>
    </row>
    <row r="32" spans="2:17" ht="14.25" thickBot="1" x14ac:dyDescent="0.2">
      <c r="B32" s="13"/>
      <c r="C32" s="28"/>
      <c r="D32" s="28"/>
      <c r="F32" s="186"/>
      <c r="G32" s="186"/>
      <c r="H32" s="186"/>
      <c r="I32" s="186"/>
      <c r="J32" s="186"/>
      <c r="K32" s="186"/>
      <c r="L32" s="186"/>
      <c r="M32" s="186"/>
      <c r="N32" s="186"/>
      <c r="O32" s="186"/>
      <c r="P32" s="186"/>
      <c r="Q32" s="14"/>
    </row>
    <row r="33" spans="2:24" ht="14.25" thickBot="1" x14ac:dyDescent="0.2">
      <c r="B33" s="13"/>
      <c r="C33" s="28" t="s">
        <v>204</v>
      </c>
      <c r="D33" s="28"/>
      <c r="F33" s="186"/>
      <c r="G33" s="186"/>
      <c r="H33" s="186"/>
      <c r="I33" s="186"/>
      <c r="J33" s="186"/>
      <c r="K33" s="186"/>
      <c r="L33" s="186"/>
      <c r="M33" s="186"/>
      <c r="N33" s="186"/>
      <c r="O33" s="202" t="str">
        <f>IF(O30&gt;=0.2,"適格","不適")</f>
        <v>適格</v>
      </c>
      <c r="P33" s="186"/>
      <c r="Q33" s="14"/>
    </row>
    <row r="34" spans="2:24" x14ac:dyDescent="0.15">
      <c r="B34" s="15"/>
      <c r="C34" s="19"/>
      <c r="D34" s="151"/>
      <c r="E34" s="3"/>
      <c r="F34" s="193"/>
      <c r="G34" s="193"/>
      <c r="H34" s="193"/>
      <c r="I34" s="193"/>
      <c r="J34" s="193"/>
      <c r="K34" s="193"/>
      <c r="L34" s="193"/>
      <c r="M34" s="193"/>
      <c r="N34" s="193"/>
      <c r="O34" s="193"/>
      <c r="P34" s="193"/>
      <c r="Q34" s="16"/>
    </row>
    <row r="35" spans="2:24" x14ac:dyDescent="0.15">
      <c r="F35" s="186"/>
      <c r="G35" s="186"/>
      <c r="H35" s="186"/>
      <c r="I35" s="186"/>
      <c r="J35" s="186"/>
      <c r="K35" s="186"/>
      <c r="L35" s="186"/>
      <c r="M35" s="186"/>
      <c r="N35" s="186"/>
      <c r="O35" s="186"/>
      <c r="P35" s="186"/>
      <c r="X35" s="9"/>
    </row>
    <row r="36" spans="2:24" ht="17.25" x14ac:dyDescent="0.15">
      <c r="B36" s="10"/>
      <c r="C36" s="18" t="s">
        <v>205</v>
      </c>
      <c r="D36" s="18"/>
      <c r="E36" s="11"/>
      <c r="F36" s="204"/>
      <c r="G36" s="204"/>
      <c r="H36" s="204"/>
      <c r="I36" s="204"/>
      <c r="J36" s="204"/>
      <c r="K36" s="204"/>
      <c r="L36" s="204"/>
      <c r="M36" s="204"/>
      <c r="N36" s="204"/>
      <c r="O36" s="204"/>
      <c r="P36" s="204"/>
      <c r="Q36" s="12"/>
    </row>
    <row r="37" spans="2:24" ht="14.25" thickBot="1" x14ac:dyDescent="0.2">
      <c r="B37" s="13"/>
      <c r="F37" s="186"/>
      <c r="G37" s="186"/>
      <c r="H37" s="186"/>
      <c r="I37" s="186"/>
      <c r="J37" s="186"/>
      <c r="K37" s="186"/>
      <c r="L37" s="186"/>
      <c r="M37" s="186"/>
      <c r="N37" s="186"/>
      <c r="O37" s="186"/>
      <c r="P37" s="186"/>
      <c r="Q37" s="14"/>
    </row>
    <row r="38" spans="2:24" ht="14.25" thickBot="1" x14ac:dyDescent="0.2">
      <c r="B38" s="13"/>
      <c r="C38" t="s">
        <v>206</v>
      </c>
      <c r="F38" s="186"/>
      <c r="G38" s="186"/>
      <c r="H38" s="186"/>
      <c r="I38" s="186"/>
      <c r="J38" s="186"/>
      <c r="K38" s="186"/>
      <c r="L38" s="186"/>
      <c r="M38" s="186"/>
      <c r="N38" s="186"/>
      <c r="O38" s="205">
        <f>機器費用/1000</f>
        <v>0</v>
      </c>
      <c r="P38" s="186" t="s">
        <v>207</v>
      </c>
      <c r="Q38" s="14"/>
    </row>
    <row r="39" spans="2:24" ht="14.25" thickBot="1" x14ac:dyDescent="0.2">
      <c r="B39" s="13"/>
      <c r="C39" s="3" t="s">
        <v>325</v>
      </c>
      <c r="D39" s="3"/>
      <c r="E39" s="3"/>
      <c r="F39" s="193"/>
      <c r="G39" s="193"/>
      <c r="H39" s="193"/>
      <c r="I39" s="193"/>
      <c r="J39" s="193"/>
      <c r="K39" s="193"/>
      <c r="L39" s="193"/>
      <c r="M39" s="193"/>
      <c r="N39" s="193"/>
      <c r="O39" s="206">
        <f>設定費用/1000</f>
        <v>0</v>
      </c>
      <c r="P39" s="193" t="s">
        <v>207</v>
      </c>
      <c r="Q39" s="14"/>
    </row>
    <row r="40" spans="2:24" x14ac:dyDescent="0.15">
      <c r="B40" s="13"/>
      <c r="C40" t="s">
        <v>262</v>
      </c>
      <c r="F40" s="186"/>
      <c r="G40" s="186"/>
      <c r="H40" s="186"/>
      <c r="I40" s="186"/>
      <c r="J40" s="186"/>
      <c r="K40" s="186"/>
      <c r="L40" s="186"/>
      <c r="M40" s="186"/>
      <c r="N40" s="186"/>
      <c r="O40" s="207">
        <f>SUM(O38:O39)</f>
        <v>0</v>
      </c>
      <c r="P40" s="186" t="s">
        <v>209</v>
      </c>
      <c r="Q40" s="14"/>
    </row>
    <row r="41" spans="2:24" x14ac:dyDescent="0.15">
      <c r="B41" s="13"/>
      <c r="F41" s="186"/>
      <c r="G41" s="186"/>
      <c r="H41" s="186"/>
      <c r="I41" s="186"/>
      <c r="J41" s="186"/>
      <c r="K41" s="186"/>
      <c r="L41" s="186"/>
      <c r="M41" s="186"/>
      <c r="N41" s="186"/>
      <c r="O41" s="208"/>
      <c r="P41" s="186"/>
      <c r="Q41" s="14"/>
      <c r="V41" s="152"/>
    </row>
    <row r="42" spans="2:24" x14ac:dyDescent="0.15">
      <c r="B42" s="13"/>
      <c r="C42" t="s">
        <v>210</v>
      </c>
      <c r="F42" s="209">
        <f>'利用が想定される中小企業(建設業)'!$F$3</f>
        <v>2.0339999999999998</v>
      </c>
      <c r="G42" s="186" t="s">
        <v>263</v>
      </c>
      <c r="H42" s="186" t="s">
        <v>199</v>
      </c>
      <c r="I42" s="210">
        <f>(O19-O27)/'利用が想定される中小企業(建設業)'!F14</f>
        <v>4.6263888888888891</v>
      </c>
      <c r="J42" s="186" t="s">
        <v>208</v>
      </c>
      <c r="K42" s="186" t="s">
        <v>199</v>
      </c>
      <c r="L42" s="189">
        <f>'利用が想定される中小企業(建設業)'!F9</f>
        <v>120</v>
      </c>
      <c r="M42" s="186" t="s">
        <v>211</v>
      </c>
      <c r="N42" s="186" t="s">
        <v>196</v>
      </c>
      <c r="O42" s="207">
        <f>F42*I42*L42</f>
        <v>1129.2089999999998</v>
      </c>
      <c r="P42" s="186" t="s">
        <v>212</v>
      </c>
      <c r="Q42" s="14"/>
    </row>
    <row r="43" spans="2:24" x14ac:dyDescent="0.15">
      <c r="B43" s="13"/>
      <c r="C43" s="3" t="s">
        <v>213</v>
      </c>
      <c r="D43" s="3"/>
      <c r="E43" s="3"/>
      <c r="F43" s="211"/>
      <c r="G43" s="211"/>
      <c r="H43" s="211"/>
      <c r="I43" s="212">
        <f>'利用が想定される中小企業(建設業)'!$F$4</f>
        <v>825</v>
      </c>
      <c r="J43" s="193" t="s">
        <v>214</v>
      </c>
      <c r="K43" s="193" t="s">
        <v>199</v>
      </c>
      <c r="L43" s="213">
        <f>(O19-O27)/8/'利用が想定される中小企業(建設業)'!F14</f>
        <v>0.57829861111111114</v>
      </c>
      <c r="M43" s="193" t="s">
        <v>264</v>
      </c>
      <c r="N43" s="193" t="s">
        <v>196</v>
      </c>
      <c r="O43" s="214">
        <f>I43*L43</f>
        <v>477.09635416666669</v>
      </c>
      <c r="P43" s="193" t="s">
        <v>212</v>
      </c>
      <c r="Q43" s="14"/>
    </row>
    <row r="44" spans="2:24" x14ac:dyDescent="0.15">
      <c r="B44" s="13"/>
      <c r="C44" t="s">
        <v>215</v>
      </c>
      <c r="F44" s="186"/>
      <c r="G44" s="186"/>
      <c r="H44" s="186"/>
      <c r="I44" s="215"/>
      <c r="J44" s="186"/>
      <c r="K44" s="186"/>
      <c r="L44" s="186"/>
      <c r="M44" s="186"/>
      <c r="N44" s="186"/>
      <c r="O44" s="207">
        <f>SUM(O42:O43)</f>
        <v>1606.3053541666666</v>
      </c>
      <c r="P44" s="186"/>
      <c r="Q44" s="14"/>
    </row>
    <row r="45" spans="2:24" ht="14.25" thickBot="1" x14ac:dyDescent="0.2">
      <c r="B45" s="13"/>
      <c r="F45" s="186"/>
      <c r="G45" s="186"/>
      <c r="H45" s="186"/>
      <c r="I45" s="186"/>
      <c r="J45" s="186"/>
      <c r="K45" s="186"/>
      <c r="L45" s="186"/>
      <c r="M45" s="186"/>
      <c r="N45" s="186"/>
      <c r="O45" s="208"/>
      <c r="P45" s="186"/>
      <c r="Q45" s="14"/>
    </row>
    <row r="46" spans="2:24" ht="14.25" thickBot="1" x14ac:dyDescent="0.2">
      <c r="B46" s="13"/>
      <c r="C46" s="8" t="s">
        <v>216</v>
      </c>
      <c r="D46" s="8"/>
      <c r="F46" s="152"/>
      <c r="G46" s="186"/>
      <c r="H46" s="186"/>
      <c r="I46" s="207">
        <f>O40</f>
        <v>0</v>
      </c>
      <c r="J46" s="186" t="s">
        <v>209</v>
      </c>
      <c r="K46" s="186" t="s">
        <v>195</v>
      </c>
      <c r="L46" s="207">
        <f>O44</f>
        <v>1606.3053541666666</v>
      </c>
      <c r="M46" s="186" t="s">
        <v>212</v>
      </c>
      <c r="N46" s="186" t="s">
        <v>196</v>
      </c>
      <c r="O46" s="201">
        <f>IF(L46&lt;=0,0,I46/L46)</f>
        <v>0</v>
      </c>
      <c r="P46" s="186" t="s">
        <v>217</v>
      </c>
      <c r="Q46" s="14"/>
    </row>
    <row r="47" spans="2:24" x14ac:dyDescent="0.15">
      <c r="B47" s="13"/>
      <c r="C47" s="28" t="s">
        <v>218</v>
      </c>
      <c r="D47" s="8"/>
      <c r="F47" s="186"/>
      <c r="G47" s="186"/>
      <c r="H47" s="186"/>
      <c r="I47" s="216"/>
      <c r="J47" s="186"/>
      <c r="K47" s="186"/>
      <c r="L47" s="186"/>
      <c r="M47" s="186"/>
      <c r="N47" s="186"/>
      <c r="O47" s="196"/>
      <c r="P47" s="186"/>
      <c r="Q47" s="14"/>
    </row>
    <row r="48" spans="2:24" ht="14.25" thickBot="1" x14ac:dyDescent="0.2">
      <c r="B48" s="13"/>
      <c r="C48" s="28"/>
      <c r="D48" s="8"/>
      <c r="F48" s="186"/>
      <c r="G48" s="186"/>
      <c r="H48" s="186"/>
      <c r="I48" s="216"/>
      <c r="J48" s="186"/>
      <c r="K48" s="186"/>
      <c r="L48" s="186"/>
      <c r="M48" s="186"/>
      <c r="N48" s="186"/>
      <c r="O48" s="196"/>
      <c r="P48" s="186"/>
      <c r="Q48" s="14"/>
    </row>
    <row r="49" spans="2:18" ht="14.25" thickBot="1" x14ac:dyDescent="0.2">
      <c r="B49" s="13"/>
      <c r="C49" s="28" t="s">
        <v>204</v>
      </c>
      <c r="D49" s="8"/>
      <c r="F49" s="186"/>
      <c r="G49" s="186"/>
      <c r="H49" s="186"/>
      <c r="I49" s="216"/>
      <c r="J49" s="186"/>
      <c r="K49" s="186"/>
      <c r="L49" s="186"/>
      <c r="M49" s="186"/>
      <c r="N49" s="186"/>
      <c r="O49" s="201" t="str">
        <f>IF(AND(0&lt;O46,O46&lt;=6*80%),"適格","不適")</f>
        <v>不適</v>
      </c>
      <c r="P49" s="186"/>
      <c r="Q49" s="14"/>
    </row>
    <row r="50" spans="2:18" x14ac:dyDescent="0.15">
      <c r="B50" s="15"/>
      <c r="C50" s="19"/>
      <c r="D50" s="19"/>
      <c r="E50" s="3"/>
      <c r="F50" s="3"/>
      <c r="G50" s="3"/>
      <c r="H50" s="3"/>
      <c r="I50" s="3"/>
      <c r="J50" s="3"/>
      <c r="K50" s="3"/>
      <c r="L50" s="3"/>
      <c r="M50" s="3"/>
      <c r="N50" s="3"/>
      <c r="O50" s="3"/>
      <c r="P50" s="3"/>
      <c r="Q50" s="16"/>
    </row>
    <row r="51" spans="2:18" x14ac:dyDescent="0.15">
      <c r="R51" s="22" t="s">
        <v>16</v>
      </c>
    </row>
    <row r="52" spans="2:18" ht="5.25" customHeight="1" thickBot="1" x14ac:dyDescent="0.2">
      <c r="J52" s="10"/>
      <c r="K52" s="11"/>
      <c r="L52" s="11"/>
      <c r="M52" s="11"/>
      <c r="N52" s="11"/>
      <c r="O52" s="11"/>
      <c r="P52" s="11"/>
      <c r="Q52" s="12"/>
      <c r="R52" s="22"/>
    </row>
    <row r="53" spans="2:18" ht="18" thickBot="1" x14ac:dyDescent="0.2">
      <c r="J53" s="13"/>
      <c r="K53" s="220" t="s">
        <v>234</v>
      </c>
      <c r="O53" s="221" t="str">
        <f>IF(審1_建設大="適格",IF(審2_建設大="適格","〇","△"),"△")</f>
        <v>△</v>
      </c>
      <c r="Q53" s="14"/>
    </row>
    <row r="54" spans="2:18" ht="6" customHeight="1" x14ac:dyDescent="0.15">
      <c r="J54" s="15"/>
      <c r="K54" s="3"/>
      <c r="L54" s="3"/>
      <c r="M54" s="3"/>
      <c r="N54" s="3"/>
      <c r="O54" s="3"/>
      <c r="P54" s="3"/>
      <c r="Q54" s="16"/>
    </row>
  </sheetData>
  <sheetProtection algorithmName="SHA-512" hashValue="snhqLKxtUH0iVfwJ6vxwgLKTxDdusavOiZsltrk5I9dSrv8s8bTPqWkDTBeyIOl7lMOUhd/k31kNwJbzEpsVrA==" saltValue="yfg3WI0+inBBVsBcozcn1Q==" spinCount="100000" sheet="1" objects="1" scenarios="1"/>
  <mergeCells count="5">
    <mergeCell ref="C2:P2"/>
    <mergeCell ref="N4:P4"/>
    <mergeCell ref="D6:M6"/>
    <mergeCell ref="D7:M7"/>
    <mergeCell ref="D11:H11"/>
  </mergeCells>
  <phoneticPr fontId="1"/>
  <pageMargins left="0.7" right="0.7" top="0.75" bottom="0.75" header="0.3" footer="0.3"/>
  <pageSetup paperSize="9" scale="6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ADC5B-7564-480D-BDA4-B7AAF732E002}">
  <sheetPr codeName="Sheet13"/>
  <dimension ref="A1:I31"/>
  <sheetViews>
    <sheetView showGridLines="0" zoomScaleNormal="100" workbookViewId="0"/>
  </sheetViews>
  <sheetFormatPr defaultRowHeight="13.5" x14ac:dyDescent="0.15"/>
  <cols>
    <col min="1" max="1" width="3.875" bestFit="1" customWidth="1"/>
    <col min="2" max="2" width="35.5" bestFit="1" customWidth="1"/>
    <col min="3" max="3" width="15.125" customWidth="1"/>
    <col min="4" max="6" width="12.625" customWidth="1"/>
    <col min="7" max="7" width="84.125" bestFit="1" customWidth="1"/>
  </cols>
  <sheetData>
    <row r="1" spans="1:9" s="4" customFormat="1" x14ac:dyDescent="0.15">
      <c r="A1" s="146"/>
      <c r="B1" s="147" t="s">
        <v>220</v>
      </c>
      <c r="C1" s="121" t="s">
        <v>221</v>
      </c>
      <c r="D1" s="153"/>
      <c r="E1" s="154" t="s">
        <v>265</v>
      </c>
      <c r="F1" s="155"/>
      <c r="G1" s="147" t="s">
        <v>222</v>
      </c>
    </row>
    <row r="2" spans="1:9" s="4" customFormat="1" x14ac:dyDescent="0.15">
      <c r="A2" s="156"/>
      <c r="B2" s="157"/>
      <c r="C2" s="158"/>
      <c r="D2" s="29" t="s">
        <v>148</v>
      </c>
      <c r="E2" s="29" t="s">
        <v>149</v>
      </c>
      <c r="F2" s="29" t="s">
        <v>150</v>
      </c>
      <c r="G2" s="157"/>
    </row>
    <row r="3" spans="1:9" ht="29.25" customHeight="1" x14ac:dyDescent="0.15">
      <c r="A3" s="159" t="s">
        <v>266</v>
      </c>
      <c r="B3" s="160" t="s">
        <v>267</v>
      </c>
      <c r="C3" s="161" t="s">
        <v>268</v>
      </c>
      <c r="D3" s="177">
        <v>2.0339999999999998</v>
      </c>
      <c r="E3" s="177">
        <v>2.0339999999999998</v>
      </c>
      <c r="F3" s="177">
        <v>2.0339999999999998</v>
      </c>
      <c r="G3" s="163" t="s">
        <v>269</v>
      </c>
    </row>
    <row r="4" spans="1:9" ht="29.25" customHeight="1" x14ac:dyDescent="0.15">
      <c r="A4" s="164" t="s">
        <v>270</v>
      </c>
      <c r="B4" s="165" t="s">
        <v>223</v>
      </c>
      <c r="C4" s="166" t="s">
        <v>271</v>
      </c>
      <c r="D4" s="178">
        <v>825</v>
      </c>
      <c r="E4" s="178">
        <v>825</v>
      </c>
      <c r="F4" s="178">
        <v>825</v>
      </c>
      <c r="G4" s="168" t="s">
        <v>272</v>
      </c>
    </row>
    <row r="5" spans="1:9" ht="29.25" customHeight="1" x14ac:dyDescent="0.15">
      <c r="A5" s="164" t="s">
        <v>273</v>
      </c>
      <c r="B5" s="165" t="s">
        <v>274</v>
      </c>
      <c r="C5" s="166" t="s">
        <v>275</v>
      </c>
      <c r="D5" s="178">
        <v>4</v>
      </c>
      <c r="E5" s="178">
        <v>16.2</v>
      </c>
      <c r="F5" s="178">
        <v>22.01</v>
      </c>
      <c r="G5" s="168" t="s">
        <v>276</v>
      </c>
      <c r="H5" s="13"/>
      <c r="I5" s="179"/>
    </row>
    <row r="6" spans="1:9" ht="29.25" customHeight="1" x14ac:dyDescent="0.15">
      <c r="A6" s="164" t="s">
        <v>277</v>
      </c>
      <c r="B6" s="165" t="s">
        <v>278</v>
      </c>
      <c r="C6" s="166" t="s">
        <v>275</v>
      </c>
      <c r="D6" s="178">
        <f>D5</f>
        <v>4</v>
      </c>
      <c r="E6" s="178">
        <f t="shared" ref="E6:F6" si="0">E5</f>
        <v>16.2</v>
      </c>
      <c r="F6" s="178">
        <f t="shared" si="0"/>
        <v>22.01</v>
      </c>
      <c r="G6" s="168" t="s">
        <v>279</v>
      </c>
    </row>
    <row r="7" spans="1:9" ht="29.25" customHeight="1" x14ac:dyDescent="0.15">
      <c r="A7" s="164" t="s">
        <v>280</v>
      </c>
      <c r="B7" s="165" t="s">
        <v>281</v>
      </c>
      <c r="C7" s="166" t="s">
        <v>282</v>
      </c>
      <c r="D7" s="178">
        <v>2</v>
      </c>
      <c r="E7" s="178">
        <v>2</v>
      </c>
      <c r="F7" s="178">
        <v>2</v>
      </c>
      <c r="G7" s="168" t="s">
        <v>283</v>
      </c>
    </row>
    <row r="8" spans="1:9" ht="29.25" customHeight="1" x14ac:dyDescent="0.15">
      <c r="A8" s="164" t="s">
        <v>284</v>
      </c>
      <c r="B8" s="165" t="s">
        <v>285</v>
      </c>
      <c r="C8" s="166" t="s">
        <v>286</v>
      </c>
      <c r="D8" s="178">
        <f>IF((D6/D7)&lt;1,ROUNDUP(D6/D7,0),ROUNDUP(D6/D7,0))</f>
        <v>2</v>
      </c>
      <c r="E8" s="178">
        <f t="shared" ref="E8:F8" si="1">IF((E6/E7)&lt;1,ROUNDUP(E6/E7,0),ROUNDUP(E6/E7,0))</f>
        <v>9</v>
      </c>
      <c r="F8" s="178">
        <f t="shared" si="1"/>
        <v>12</v>
      </c>
      <c r="G8" s="168"/>
    </row>
    <row r="9" spans="1:9" ht="29.25" customHeight="1" x14ac:dyDescent="0.15">
      <c r="A9" s="164" t="s">
        <v>287</v>
      </c>
      <c r="B9" s="165" t="s">
        <v>288</v>
      </c>
      <c r="C9" s="166" t="s">
        <v>289</v>
      </c>
      <c r="D9" s="176">
        <v>120</v>
      </c>
      <c r="E9" s="176">
        <v>120</v>
      </c>
      <c r="F9" s="176">
        <v>120</v>
      </c>
      <c r="G9" s="168" t="s">
        <v>290</v>
      </c>
      <c r="H9" s="28"/>
    </row>
    <row r="10" spans="1:9" ht="29.25" customHeight="1" x14ac:dyDescent="0.15">
      <c r="A10" s="164" t="s">
        <v>291</v>
      </c>
      <c r="B10" s="165" t="s">
        <v>292</v>
      </c>
      <c r="C10" s="166" t="s">
        <v>293</v>
      </c>
      <c r="D10" s="217">
        <f>D13*D11+0.3</f>
        <v>2.6763888888888889</v>
      </c>
      <c r="E10" s="217">
        <f t="shared" ref="E10:F10" si="2">E13*E11+0.3</f>
        <v>2.6763888888888889</v>
      </c>
      <c r="F10" s="217">
        <f t="shared" si="2"/>
        <v>2.6763888888888889</v>
      </c>
      <c r="G10" s="168" t="s">
        <v>294</v>
      </c>
      <c r="H10" s="28"/>
    </row>
    <row r="11" spans="1:9" ht="29.25" customHeight="1" x14ac:dyDescent="0.15">
      <c r="A11" s="164" t="s">
        <v>295</v>
      </c>
      <c r="B11" s="165" t="s">
        <v>296</v>
      </c>
      <c r="C11" s="166" t="s">
        <v>297</v>
      </c>
      <c r="D11" s="176">
        <v>5</v>
      </c>
      <c r="E11" s="176">
        <v>5</v>
      </c>
      <c r="F11" s="176">
        <v>5</v>
      </c>
      <c r="G11" s="168" t="s">
        <v>294</v>
      </c>
      <c r="H11" s="28"/>
    </row>
    <row r="12" spans="1:9" ht="29.25" customHeight="1" x14ac:dyDescent="0.15">
      <c r="A12" s="164" t="s">
        <v>298</v>
      </c>
      <c r="B12" s="165" t="s">
        <v>299</v>
      </c>
      <c r="C12" s="166" t="s">
        <v>300</v>
      </c>
      <c r="D12" s="176">
        <v>30</v>
      </c>
      <c r="E12" s="176">
        <v>30</v>
      </c>
      <c r="F12" s="176">
        <v>30</v>
      </c>
      <c r="G12" s="168" t="s">
        <v>294</v>
      </c>
      <c r="H12" s="28"/>
    </row>
    <row r="13" spans="1:9" ht="29.25" customHeight="1" x14ac:dyDescent="0.15">
      <c r="A13" s="164" t="s">
        <v>301</v>
      </c>
      <c r="B13" s="165" t="s">
        <v>302</v>
      </c>
      <c r="C13" s="166" t="s">
        <v>303</v>
      </c>
      <c r="D13" s="218">
        <v>0.4752777777777778</v>
      </c>
      <c r="E13" s="218">
        <v>0.4752777777777778</v>
      </c>
      <c r="F13" s="218">
        <v>0.4752777777777778</v>
      </c>
      <c r="G13" s="168" t="s">
        <v>304</v>
      </c>
      <c r="H13" s="28"/>
    </row>
    <row r="14" spans="1:9" ht="29.25" customHeight="1" x14ac:dyDescent="0.15">
      <c r="A14" s="170" t="s">
        <v>305</v>
      </c>
      <c r="B14" s="171" t="s">
        <v>306</v>
      </c>
      <c r="C14" s="172" t="s">
        <v>307</v>
      </c>
      <c r="D14" s="173">
        <f>D8</f>
        <v>2</v>
      </c>
      <c r="E14" s="173">
        <f>E8</f>
        <v>9</v>
      </c>
      <c r="F14" s="173">
        <f>F8</f>
        <v>12</v>
      </c>
      <c r="G14" s="174" t="s">
        <v>308</v>
      </c>
    </row>
    <row r="31" spans="4:4" x14ac:dyDescent="0.15">
      <c r="D31" s="175"/>
    </row>
  </sheetData>
  <sheetProtection algorithmName="SHA-512" hashValue="CaOOatVGK3fTky38zEB6q0LjNitHt/QSv8eDf55UclxWMFJcWB88M0IyG/RJzUpKBZYzry1572YP95cJKj+vbw==" saltValue="OX8z+KFYpRG5/a6MfeToHw==" spinCount="100000" sheet="1" objects="1" scenarios="1"/>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E1405-719A-410F-B3D2-A96BCDE87DF0}">
  <sheetPr codeName="Sheet14">
    <tabColor theme="6" tint="0.79998168889431442"/>
    <pageSetUpPr fitToPage="1"/>
  </sheetPr>
  <dimension ref="B2:X54"/>
  <sheetViews>
    <sheetView view="pageBreakPreview" zoomScaleNormal="100" zoomScaleSheetLayoutView="100" workbookViewId="0"/>
  </sheetViews>
  <sheetFormatPr defaultRowHeight="13.5" x14ac:dyDescent="0.15"/>
  <cols>
    <col min="1" max="2" width="2.75" customWidth="1"/>
    <col min="3" max="3" width="28.125" customWidth="1"/>
    <col min="4" max="4" width="14.125" customWidth="1"/>
    <col min="5" max="5" width="2.625" customWidth="1"/>
    <col min="6" max="6" width="6.375" customWidth="1"/>
    <col min="8" max="8" width="3.375" customWidth="1"/>
    <col min="9" max="9" width="6" customWidth="1"/>
    <col min="10" max="10" width="9.75" customWidth="1"/>
    <col min="11" max="11" width="3.375" bestFit="1" customWidth="1"/>
    <col min="12" max="12" width="6.375" customWidth="1"/>
    <col min="13" max="13" width="9.375" bestFit="1" customWidth="1"/>
    <col min="14" max="14" width="3.375" bestFit="1" customWidth="1"/>
    <col min="15" max="15" width="10" customWidth="1"/>
    <col min="16" max="16" width="8.125" customWidth="1"/>
    <col min="17" max="18" width="2.875" customWidth="1"/>
  </cols>
  <sheetData>
    <row r="2" spans="2:17" ht="24" x14ac:dyDescent="0.15">
      <c r="C2" s="318" t="s">
        <v>192</v>
      </c>
      <c r="D2" s="318"/>
      <c r="E2" s="318"/>
      <c r="F2" s="318"/>
      <c r="G2" s="318"/>
      <c r="H2" s="318"/>
      <c r="I2" s="318"/>
      <c r="J2" s="318"/>
      <c r="K2" s="318"/>
      <c r="L2" s="318"/>
      <c r="M2" s="318"/>
      <c r="N2" s="318"/>
      <c r="O2" s="318"/>
      <c r="P2" s="318"/>
    </row>
    <row r="3" spans="2:17" ht="7.5" customHeight="1" x14ac:dyDescent="0.15">
      <c r="C3" s="23"/>
      <c r="D3" s="23"/>
      <c r="E3" s="23"/>
      <c r="F3" s="23"/>
      <c r="G3" s="23"/>
      <c r="H3" s="23"/>
      <c r="I3" s="23"/>
      <c r="J3" s="23"/>
      <c r="K3" s="23"/>
      <c r="L3" s="23"/>
      <c r="M3" s="23"/>
      <c r="N3" s="23"/>
      <c r="O3" s="23"/>
      <c r="P3" s="23"/>
    </row>
    <row r="4" spans="2:17" ht="15" customHeight="1" x14ac:dyDescent="0.15">
      <c r="C4" s="49" t="str">
        <f>"【"&amp;製品カテゴリ&amp;"】"</f>
        <v>【測量機（自動視準・自動追尾機能付き高機能トータルステーション）】</v>
      </c>
      <c r="D4" s="23"/>
      <c r="E4" s="23"/>
      <c r="F4" s="23"/>
      <c r="G4" s="23"/>
      <c r="H4" s="23"/>
      <c r="I4" s="23"/>
      <c r="J4" s="23"/>
      <c r="K4" s="24"/>
      <c r="L4" s="24"/>
      <c r="M4" s="24"/>
      <c r="N4" s="664" t="s">
        <v>326</v>
      </c>
      <c r="O4" s="664"/>
      <c r="P4" s="664"/>
    </row>
    <row r="5" spans="2:17" ht="7.5" customHeight="1" x14ac:dyDescent="0.15">
      <c r="C5" s="23"/>
      <c r="D5" s="23"/>
      <c r="E5" s="23"/>
      <c r="F5" s="23"/>
      <c r="G5" s="23"/>
      <c r="H5" s="23"/>
      <c r="I5" s="23"/>
      <c r="J5" s="23"/>
      <c r="K5" s="23"/>
      <c r="L5" s="23"/>
      <c r="M5" s="23"/>
      <c r="N5" s="23"/>
      <c r="O5" s="23"/>
      <c r="P5" s="23"/>
    </row>
    <row r="6" spans="2:17" x14ac:dyDescent="0.15">
      <c r="C6" s="6" t="s">
        <v>1</v>
      </c>
      <c r="D6" s="665">
        <f>製造事業者名</f>
        <v>0</v>
      </c>
      <c r="E6" s="665"/>
      <c r="F6" s="665"/>
      <c r="G6" s="665"/>
      <c r="H6" s="665"/>
      <c r="I6" s="665"/>
      <c r="J6" s="665"/>
      <c r="K6" s="665"/>
      <c r="L6" s="665"/>
      <c r="M6" s="665"/>
    </row>
    <row r="7" spans="2:17" x14ac:dyDescent="0.15">
      <c r="C7" s="6" t="s">
        <v>2</v>
      </c>
      <c r="D7" s="665">
        <f>型番</f>
        <v>0</v>
      </c>
      <c r="E7" s="665"/>
      <c r="F7" s="665"/>
      <c r="G7" s="665"/>
      <c r="H7" s="665"/>
      <c r="I7" s="665"/>
      <c r="J7" s="665"/>
      <c r="K7" s="665"/>
      <c r="L7" s="665"/>
      <c r="M7" s="665"/>
    </row>
    <row r="9" spans="2:17" x14ac:dyDescent="0.15">
      <c r="C9" s="148" t="s">
        <v>233</v>
      </c>
      <c r="D9" s="148"/>
    </row>
    <row r="10" spans="2:17" x14ac:dyDescent="0.15">
      <c r="C10" s="148"/>
      <c r="D10" s="148"/>
    </row>
    <row r="11" spans="2:17" x14ac:dyDescent="0.15">
      <c r="C11" s="27" t="s">
        <v>193</v>
      </c>
      <c r="D11" s="666" t="s">
        <v>328</v>
      </c>
      <c r="E11" s="667"/>
      <c r="F11" s="667"/>
      <c r="G11" s="667"/>
      <c r="H11" s="668"/>
    </row>
    <row r="13" spans="2:17" ht="17.25" x14ac:dyDescent="0.15">
      <c r="B13" s="10"/>
      <c r="C13" s="18" t="s">
        <v>194</v>
      </c>
      <c r="D13" s="18"/>
      <c r="E13" s="11"/>
      <c r="F13" s="11"/>
      <c r="G13" s="11"/>
      <c r="H13" s="11"/>
      <c r="I13" s="11"/>
      <c r="J13" s="11"/>
      <c r="K13" s="11"/>
      <c r="L13" s="11"/>
      <c r="M13" s="11"/>
      <c r="N13" s="11"/>
      <c r="O13" s="11"/>
      <c r="P13" s="11"/>
      <c r="Q13" s="12"/>
    </row>
    <row r="14" spans="2:17" x14ac:dyDescent="0.15">
      <c r="B14" s="13"/>
      <c r="C14" s="7"/>
      <c r="D14" s="7"/>
      <c r="G14" s="4"/>
      <c r="J14" s="4"/>
      <c r="Q14" s="14"/>
    </row>
    <row r="15" spans="2:17" x14ac:dyDescent="0.15">
      <c r="B15" s="13"/>
      <c r="C15" s="149" t="s">
        <v>247</v>
      </c>
      <c r="D15" s="7"/>
      <c r="F15" s="188">
        <v>81</v>
      </c>
      <c r="G15" s="186" t="s">
        <v>248</v>
      </c>
      <c r="H15" s="186" t="s">
        <v>199</v>
      </c>
      <c r="I15" s="189">
        <f>'利用が想定される中小企業(専門・技術サービス業)'!D11*'利用が想定される中小企業(専門・技術サービス業)'!D8</f>
        <v>20</v>
      </c>
      <c r="J15" s="186" t="s">
        <v>219</v>
      </c>
      <c r="K15" s="186" t="s">
        <v>195</v>
      </c>
      <c r="L15" s="189">
        <v>3600</v>
      </c>
      <c r="M15" s="186" t="s">
        <v>249</v>
      </c>
      <c r="N15" s="186" t="s">
        <v>196</v>
      </c>
      <c r="O15" s="190">
        <f>F15*I15/L15</f>
        <v>0.45</v>
      </c>
      <c r="P15" s="186" t="s">
        <v>197</v>
      </c>
      <c r="Q15" s="14"/>
    </row>
    <row r="16" spans="2:17" x14ac:dyDescent="0.15">
      <c r="B16" s="13"/>
      <c r="C16" s="149" t="s">
        <v>250</v>
      </c>
      <c r="D16" s="7"/>
      <c r="F16" s="188">
        <v>25</v>
      </c>
      <c r="G16" s="186" t="s">
        <v>248</v>
      </c>
      <c r="H16" s="186" t="s">
        <v>199</v>
      </c>
      <c r="I16" s="189">
        <f>'利用が想定される中小企業(専門・技術サービス業)'!D12*'利用が想定される中小企業(専門・技術サービス業)'!D11*'利用が想定される中小企業(専門・技術サービス業)'!D8</f>
        <v>600</v>
      </c>
      <c r="J16" s="186" t="s">
        <v>219</v>
      </c>
      <c r="K16" s="186" t="s">
        <v>195</v>
      </c>
      <c r="L16" s="189">
        <v>3600</v>
      </c>
      <c r="M16" s="186" t="s">
        <v>249</v>
      </c>
      <c r="N16" s="186" t="s">
        <v>196</v>
      </c>
      <c r="O16" s="191">
        <f>F16*I16/L16</f>
        <v>4.166666666666667</v>
      </c>
      <c r="P16" s="186" t="s">
        <v>197</v>
      </c>
      <c r="Q16" s="14"/>
    </row>
    <row r="17" spans="2:17" x14ac:dyDescent="0.15">
      <c r="B17" s="13"/>
      <c r="C17" s="149" t="s">
        <v>251</v>
      </c>
      <c r="D17" s="7"/>
      <c r="F17" s="188">
        <v>360</v>
      </c>
      <c r="G17" s="186" t="s">
        <v>248</v>
      </c>
      <c r="H17" s="186" t="s">
        <v>199</v>
      </c>
      <c r="I17" s="189">
        <f>'利用が想定される中小企業(専門・技術サービス業)'!D8</f>
        <v>2</v>
      </c>
      <c r="J17" s="186" t="s">
        <v>219</v>
      </c>
      <c r="K17" s="186" t="s">
        <v>195</v>
      </c>
      <c r="L17" s="189">
        <v>3600</v>
      </c>
      <c r="M17" s="186" t="s">
        <v>249</v>
      </c>
      <c r="N17" s="186" t="s">
        <v>196</v>
      </c>
      <c r="O17" s="191">
        <f>F17*I17/L17</f>
        <v>0.2</v>
      </c>
      <c r="P17" s="186" t="s">
        <v>197</v>
      </c>
      <c r="Q17" s="14"/>
    </row>
    <row r="18" spans="2:17" x14ac:dyDescent="0.15">
      <c r="B18" s="13"/>
      <c r="C18" s="150" t="s">
        <v>252</v>
      </c>
      <c r="D18" s="3"/>
      <c r="E18" s="3"/>
      <c r="F18" s="192"/>
      <c r="G18" s="193"/>
      <c r="H18" s="193"/>
      <c r="I18" s="194">
        <f>'利用が想定される中小企業(専門・技術サービス業)'!D8</f>
        <v>2</v>
      </c>
      <c r="J18" s="193" t="s">
        <v>253</v>
      </c>
      <c r="K18" s="193" t="s">
        <v>199</v>
      </c>
      <c r="L18" s="194">
        <f>'利用が想定される中小企業(専門・技術サービス業)'!D10+2</f>
        <v>7.052777777777778</v>
      </c>
      <c r="M18" s="193" t="s">
        <v>197</v>
      </c>
      <c r="N18" s="193" t="s">
        <v>196</v>
      </c>
      <c r="O18" s="195">
        <f>I18*L18</f>
        <v>14.105555555555556</v>
      </c>
      <c r="P18" s="193" t="s">
        <v>197</v>
      </c>
      <c r="Q18" s="14"/>
    </row>
    <row r="19" spans="2:17" x14ac:dyDescent="0.15">
      <c r="B19" s="13"/>
      <c r="C19" t="s">
        <v>198</v>
      </c>
      <c r="F19" s="186"/>
      <c r="G19" s="186"/>
      <c r="H19" s="186"/>
      <c r="I19" s="186"/>
      <c r="J19" s="186"/>
      <c r="K19" s="186"/>
      <c r="L19" s="186"/>
      <c r="M19" s="186"/>
      <c r="N19" s="186"/>
      <c r="O19" s="191">
        <f>SUM(O15:O18)</f>
        <v>18.922222222222224</v>
      </c>
      <c r="P19" s="186" t="s">
        <v>197</v>
      </c>
      <c r="Q19" s="14"/>
    </row>
    <row r="20" spans="2:17" x14ac:dyDescent="0.15">
      <c r="B20" s="13"/>
      <c r="C20" t="s">
        <v>254</v>
      </c>
      <c r="F20" s="186"/>
      <c r="G20" s="186"/>
      <c r="H20" s="186"/>
      <c r="I20" s="186"/>
      <c r="J20" s="186"/>
      <c r="K20" s="186"/>
      <c r="L20" s="186"/>
      <c r="M20" s="186"/>
      <c r="N20" s="186"/>
      <c r="O20" s="196"/>
      <c r="P20" s="186"/>
      <c r="Q20" s="14"/>
    </row>
    <row r="21" spans="2:17" x14ac:dyDescent="0.15">
      <c r="B21" s="13"/>
      <c r="F21" s="186"/>
      <c r="G21" s="186"/>
      <c r="H21" s="186"/>
      <c r="I21" s="186"/>
      <c r="J21" s="186"/>
      <c r="K21" s="186"/>
      <c r="L21" s="186"/>
      <c r="M21" s="186"/>
      <c r="N21" s="186"/>
      <c r="O21" s="196"/>
      <c r="P21" s="186"/>
      <c r="Q21" s="14"/>
    </row>
    <row r="22" spans="2:17" x14ac:dyDescent="0.15">
      <c r="B22" s="13"/>
      <c r="C22" t="s">
        <v>255</v>
      </c>
      <c r="F22" s="188">
        <v>450</v>
      </c>
      <c r="G22" s="186" t="s">
        <v>248</v>
      </c>
      <c r="H22" s="186" t="s">
        <v>199</v>
      </c>
      <c r="I22" s="189">
        <f>'利用が想定される中小企業(専門・技術サービス業)'!D8</f>
        <v>2</v>
      </c>
      <c r="J22" s="186" t="s">
        <v>253</v>
      </c>
      <c r="K22" s="186" t="s">
        <v>195</v>
      </c>
      <c r="L22" s="189">
        <v>3600</v>
      </c>
      <c r="M22" s="186" t="s">
        <v>249</v>
      </c>
      <c r="N22" s="186" t="s">
        <v>196</v>
      </c>
      <c r="O22" s="191">
        <f>F22*I22/L22</f>
        <v>0.25</v>
      </c>
      <c r="P22" s="186" t="s">
        <v>197</v>
      </c>
      <c r="Q22" s="14"/>
    </row>
    <row r="23" spans="2:17" x14ac:dyDescent="0.15">
      <c r="B23" s="13"/>
      <c r="C23" t="s">
        <v>256</v>
      </c>
      <c r="F23" s="188">
        <v>141</v>
      </c>
      <c r="G23" s="186" t="s">
        <v>248</v>
      </c>
      <c r="H23" s="186" t="s">
        <v>199</v>
      </c>
      <c r="I23" s="189">
        <f>'利用が想定される中小企業(専門・技術サービス業)'!D11*'利用が想定される中小企業(専門・技術サービス業)'!D8</f>
        <v>20</v>
      </c>
      <c r="J23" s="186" t="s">
        <v>219</v>
      </c>
      <c r="K23" s="186" t="s">
        <v>195</v>
      </c>
      <c r="L23" s="189">
        <v>3600</v>
      </c>
      <c r="M23" s="186" t="s">
        <v>249</v>
      </c>
      <c r="N23" s="186" t="s">
        <v>196</v>
      </c>
      <c r="O23" s="191">
        <f>F23*I23/L23</f>
        <v>0.78333333333333333</v>
      </c>
      <c r="P23" s="186" t="s">
        <v>197</v>
      </c>
      <c r="Q23" s="14"/>
    </row>
    <row r="24" spans="2:17" x14ac:dyDescent="0.15">
      <c r="B24" s="13"/>
      <c r="C24" t="s">
        <v>257</v>
      </c>
      <c r="F24" s="188">
        <v>11</v>
      </c>
      <c r="G24" s="186" t="s">
        <v>248</v>
      </c>
      <c r="H24" s="186" t="s">
        <v>199</v>
      </c>
      <c r="I24" s="189">
        <f>'利用が想定される中小企業(専門・技術サービス業)'!D12*'利用が想定される中小企業(専門・技術サービス業)'!D11*'利用が想定される中小企業(専門・技術サービス業)'!D8</f>
        <v>600</v>
      </c>
      <c r="J24" s="186" t="s">
        <v>219</v>
      </c>
      <c r="K24" s="186" t="s">
        <v>195</v>
      </c>
      <c r="L24" s="189">
        <v>3600</v>
      </c>
      <c r="M24" s="186" t="s">
        <v>249</v>
      </c>
      <c r="N24" s="186" t="s">
        <v>196</v>
      </c>
      <c r="O24" s="191">
        <f>F24*I24/L24</f>
        <v>1.8333333333333333</v>
      </c>
      <c r="P24" s="186" t="s">
        <v>197</v>
      </c>
      <c r="Q24" s="14"/>
    </row>
    <row r="25" spans="2:17" x14ac:dyDescent="0.15">
      <c r="B25" s="13"/>
      <c r="C25" t="s">
        <v>258</v>
      </c>
      <c r="F25" s="189">
        <v>540</v>
      </c>
      <c r="G25" s="186" t="s">
        <v>248</v>
      </c>
      <c r="H25" s="186" t="s">
        <v>199</v>
      </c>
      <c r="I25" s="189">
        <f>'利用が想定される中小企業(専門・技術サービス業)'!D8</f>
        <v>2</v>
      </c>
      <c r="J25" s="186" t="s">
        <v>219</v>
      </c>
      <c r="K25" s="186" t="s">
        <v>195</v>
      </c>
      <c r="L25" s="189">
        <v>3600</v>
      </c>
      <c r="M25" s="186" t="s">
        <v>249</v>
      </c>
      <c r="N25" s="186" t="s">
        <v>196</v>
      </c>
      <c r="O25" s="191">
        <f>F25*I25/L25</f>
        <v>0.3</v>
      </c>
      <c r="P25" s="186" t="s">
        <v>197</v>
      </c>
      <c r="Q25" s="14"/>
    </row>
    <row r="26" spans="2:17" x14ac:dyDescent="0.15">
      <c r="B26" s="13"/>
      <c r="C26" s="3" t="s">
        <v>259</v>
      </c>
      <c r="D26" s="3"/>
      <c r="E26" s="3"/>
      <c r="F26" s="197">
        <f>IF(自動追尾機能="有",0,9)</f>
        <v>9</v>
      </c>
      <c r="G26" s="193" t="s">
        <v>248</v>
      </c>
      <c r="H26" s="193" t="s">
        <v>199</v>
      </c>
      <c r="I26" s="194">
        <f>'利用が想定される中小企業(専門・技術サービス業)'!D12*'利用が想定される中小企業(専門・技術サービス業)'!D11*'利用が想定される中小企業(専門・技術サービス業)'!D8</f>
        <v>600</v>
      </c>
      <c r="J26" s="193" t="s">
        <v>219</v>
      </c>
      <c r="K26" s="193" t="s">
        <v>195</v>
      </c>
      <c r="L26" s="194">
        <v>3600</v>
      </c>
      <c r="M26" s="193" t="s">
        <v>249</v>
      </c>
      <c r="N26" s="193" t="s">
        <v>196</v>
      </c>
      <c r="O26" s="198">
        <f>F26*I26/L26</f>
        <v>1.5</v>
      </c>
      <c r="P26" s="193" t="s">
        <v>197</v>
      </c>
      <c r="Q26" s="14"/>
    </row>
    <row r="27" spans="2:17" x14ac:dyDescent="0.15">
      <c r="B27" s="13"/>
      <c r="C27" t="s">
        <v>200</v>
      </c>
      <c r="F27" s="186"/>
      <c r="G27" s="186"/>
      <c r="H27" s="186"/>
      <c r="I27" s="186"/>
      <c r="J27" s="186"/>
      <c r="K27" s="186"/>
      <c r="L27" s="186"/>
      <c r="M27" s="186"/>
      <c r="N27" s="186"/>
      <c r="O27" s="199">
        <f>SUM(O22:O26)</f>
        <v>4.6666666666666661</v>
      </c>
      <c r="P27" s="186" t="s">
        <v>197</v>
      </c>
      <c r="Q27" s="14"/>
    </row>
    <row r="28" spans="2:17" x14ac:dyDescent="0.15">
      <c r="B28" s="13"/>
      <c r="C28" t="s">
        <v>260</v>
      </c>
      <c r="F28" s="186"/>
      <c r="G28" s="186"/>
      <c r="H28" s="186"/>
      <c r="I28" s="186"/>
      <c r="J28" s="186"/>
      <c r="K28" s="186"/>
      <c r="L28" s="186"/>
      <c r="M28" s="186"/>
      <c r="N28" s="186"/>
      <c r="O28" s="196"/>
      <c r="P28" s="186"/>
      <c r="Q28" s="14"/>
    </row>
    <row r="29" spans="2:17" ht="14.25" thickBot="1" x14ac:dyDescent="0.2">
      <c r="B29" s="13"/>
      <c r="F29" s="186"/>
      <c r="G29" s="186"/>
      <c r="H29" s="186"/>
      <c r="I29" s="186"/>
      <c r="J29" s="186"/>
      <c r="K29" s="186"/>
      <c r="L29" s="186"/>
      <c r="M29" s="186"/>
      <c r="N29" s="186"/>
      <c r="O29" s="196"/>
      <c r="P29" s="186"/>
      <c r="Q29" s="14"/>
    </row>
    <row r="30" spans="2:17" ht="14.25" thickBot="1" x14ac:dyDescent="0.2">
      <c r="B30" s="13"/>
      <c r="C30" s="8" t="s">
        <v>327</v>
      </c>
      <c r="D30" s="8"/>
      <c r="E30" s="6" t="s">
        <v>261</v>
      </c>
      <c r="F30" s="191">
        <f>O19</f>
        <v>18.922222222222224</v>
      </c>
      <c r="G30" s="186" t="s">
        <v>197</v>
      </c>
      <c r="H30" s="186" t="s">
        <v>44</v>
      </c>
      <c r="I30" s="191">
        <f>O27</f>
        <v>4.6666666666666661</v>
      </c>
      <c r="J30" s="200" t="s">
        <v>333</v>
      </c>
      <c r="K30" s="186" t="s">
        <v>195</v>
      </c>
      <c r="L30" s="191">
        <f>O19</f>
        <v>18.922222222222224</v>
      </c>
      <c r="M30" s="186" t="s">
        <v>197</v>
      </c>
      <c r="N30" s="186" t="s">
        <v>201</v>
      </c>
      <c r="O30" s="201">
        <f>(F30-I30)/L30</f>
        <v>0.75337639459776873</v>
      </c>
      <c r="P30" s="186" t="s">
        <v>202</v>
      </c>
      <c r="Q30" s="14"/>
    </row>
    <row r="31" spans="2:17" x14ac:dyDescent="0.15">
      <c r="B31" s="13"/>
      <c r="C31" s="28" t="s">
        <v>203</v>
      </c>
      <c r="D31" s="28"/>
      <c r="F31" s="186"/>
      <c r="G31" s="186"/>
      <c r="H31" s="186"/>
      <c r="I31" s="186"/>
      <c r="J31" s="186"/>
      <c r="K31" s="186"/>
      <c r="L31" s="186"/>
      <c r="M31" s="186"/>
      <c r="N31" s="186"/>
      <c r="O31" s="186"/>
      <c r="P31" s="186"/>
      <c r="Q31" s="14"/>
    </row>
    <row r="32" spans="2:17" ht="14.25" thickBot="1" x14ac:dyDescent="0.2">
      <c r="B32" s="13"/>
      <c r="C32" s="28"/>
      <c r="D32" s="28"/>
      <c r="F32" s="186"/>
      <c r="G32" s="186"/>
      <c r="H32" s="186"/>
      <c r="I32" s="186"/>
      <c r="J32" s="186"/>
      <c r="K32" s="186"/>
      <c r="L32" s="186"/>
      <c r="M32" s="186"/>
      <c r="N32" s="186"/>
      <c r="O32" s="186"/>
      <c r="P32" s="186"/>
      <c r="Q32" s="14"/>
    </row>
    <row r="33" spans="2:24" ht="14.25" thickBot="1" x14ac:dyDescent="0.2">
      <c r="B33" s="13"/>
      <c r="C33" s="28" t="s">
        <v>204</v>
      </c>
      <c r="D33" s="28"/>
      <c r="F33" s="186"/>
      <c r="G33" s="186"/>
      <c r="H33" s="186"/>
      <c r="I33" s="186"/>
      <c r="J33" s="186"/>
      <c r="K33" s="186"/>
      <c r="L33" s="186"/>
      <c r="M33" s="186"/>
      <c r="N33" s="186"/>
      <c r="O33" s="202" t="str">
        <f>IF(O30&gt;=0.2,"適格","不適")</f>
        <v>適格</v>
      </c>
      <c r="P33" s="186"/>
      <c r="Q33" s="14"/>
    </row>
    <row r="34" spans="2:24" x14ac:dyDescent="0.15">
      <c r="B34" s="15"/>
      <c r="C34" s="19"/>
      <c r="D34" s="151"/>
      <c r="E34" s="3"/>
      <c r="F34" s="193"/>
      <c r="G34" s="193"/>
      <c r="H34" s="193"/>
      <c r="I34" s="193"/>
      <c r="J34" s="193"/>
      <c r="K34" s="193"/>
      <c r="L34" s="193"/>
      <c r="M34" s="193"/>
      <c r="N34" s="193"/>
      <c r="O34" s="193"/>
      <c r="P34" s="193"/>
      <c r="Q34" s="16"/>
    </row>
    <row r="35" spans="2:24" x14ac:dyDescent="0.15">
      <c r="F35" s="186"/>
      <c r="G35" s="186"/>
      <c r="H35" s="186"/>
      <c r="I35" s="186"/>
      <c r="J35" s="186"/>
      <c r="K35" s="186"/>
      <c r="L35" s="186"/>
      <c r="M35" s="186"/>
      <c r="N35" s="186"/>
      <c r="O35" s="186"/>
      <c r="P35" s="186"/>
      <c r="X35" s="9"/>
    </row>
    <row r="36" spans="2:24" ht="17.25" x14ac:dyDescent="0.15">
      <c r="B36" s="10"/>
      <c r="C36" s="18" t="s">
        <v>205</v>
      </c>
      <c r="D36" s="18"/>
      <c r="E36" s="11"/>
      <c r="F36" s="204"/>
      <c r="G36" s="204"/>
      <c r="H36" s="204"/>
      <c r="I36" s="204"/>
      <c r="J36" s="204"/>
      <c r="K36" s="204"/>
      <c r="L36" s="204"/>
      <c r="M36" s="204"/>
      <c r="N36" s="204"/>
      <c r="O36" s="204"/>
      <c r="P36" s="204"/>
      <c r="Q36" s="12"/>
    </row>
    <row r="37" spans="2:24" ht="14.25" thickBot="1" x14ac:dyDescent="0.2">
      <c r="B37" s="13"/>
      <c r="F37" s="186"/>
      <c r="G37" s="186"/>
      <c r="H37" s="186"/>
      <c r="I37" s="186"/>
      <c r="J37" s="186"/>
      <c r="K37" s="186"/>
      <c r="L37" s="186"/>
      <c r="M37" s="186"/>
      <c r="N37" s="186"/>
      <c r="O37" s="186"/>
      <c r="P37" s="186"/>
      <c r="Q37" s="14"/>
    </row>
    <row r="38" spans="2:24" ht="14.25" thickBot="1" x14ac:dyDescent="0.2">
      <c r="B38" s="13"/>
      <c r="C38" t="s">
        <v>206</v>
      </c>
      <c r="F38" s="186"/>
      <c r="G38" s="186"/>
      <c r="H38" s="186"/>
      <c r="I38" s="186"/>
      <c r="J38" s="186"/>
      <c r="K38" s="186"/>
      <c r="L38" s="186"/>
      <c r="M38" s="186"/>
      <c r="N38" s="186"/>
      <c r="O38" s="205">
        <f>機器費用/1000</f>
        <v>0</v>
      </c>
      <c r="P38" s="186" t="s">
        <v>207</v>
      </c>
      <c r="Q38" s="14"/>
    </row>
    <row r="39" spans="2:24" ht="14.25" thickBot="1" x14ac:dyDescent="0.2">
      <c r="B39" s="13"/>
      <c r="C39" s="3" t="s">
        <v>325</v>
      </c>
      <c r="D39" s="3"/>
      <c r="E39" s="3"/>
      <c r="F39" s="193"/>
      <c r="G39" s="193"/>
      <c r="H39" s="193"/>
      <c r="I39" s="193"/>
      <c r="J39" s="193"/>
      <c r="K39" s="193"/>
      <c r="L39" s="193"/>
      <c r="M39" s="193"/>
      <c r="N39" s="193"/>
      <c r="O39" s="206">
        <f>設定費用/1000</f>
        <v>0</v>
      </c>
      <c r="P39" s="193" t="s">
        <v>207</v>
      </c>
      <c r="Q39" s="14"/>
    </row>
    <row r="40" spans="2:24" x14ac:dyDescent="0.15">
      <c r="B40" s="13"/>
      <c r="C40" t="s">
        <v>262</v>
      </c>
      <c r="F40" s="186"/>
      <c r="G40" s="186"/>
      <c r="H40" s="186"/>
      <c r="I40" s="186"/>
      <c r="J40" s="186"/>
      <c r="K40" s="186"/>
      <c r="L40" s="186"/>
      <c r="M40" s="186"/>
      <c r="N40" s="186"/>
      <c r="O40" s="207">
        <f>SUM(O38:O39)</f>
        <v>0</v>
      </c>
      <c r="P40" s="186" t="s">
        <v>209</v>
      </c>
      <c r="Q40" s="14"/>
    </row>
    <row r="41" spans="2:24" x14ac:dyDescent="0.15">
      <c r="B41" s="13"/>
      <c r="F41" s="186"/>
      <c r="G41" s="186"/>
      <c r="H41" s="186"/>
      <c r="I41" s="186"/>
      <c r="J41" s="186"/>
      <c r="K41" s="186"/>
      <c r="L41" s="186"/>
      <c r="M41" s="186"/>
      <c r="N41" s="186"/>
      <c r="O41" s="208"/>
      <c r="P41" s="186"/>
      <c r="Q41" s="14"/>
      <c r="V41" s="152"/>
    </row>
    <row r="42" spans="2:24" x14ac:dyDescent="0.15">
      <c r="B42" s="13"/>
      <c r="C42" t="s">
        <v>210</v>
      </c>
      <c r="F42" s="209">
        <f>'利用が想定される中小企業(専門・技術サービス業)'!$D$3</f>
        <v>2.0339999999999998</v>
      </c>
      <c r="G42" s="186" t="s">
        <v>263</v>
      </c>
      <c r="H42" s="186" t="s">
        <v>199</v>
      </c>
      <c r="I42" s="210">
        <f>(O19-O27)/'利用が想定される中小企業(専門・技術サービス業)'!D14</f>
        <v>7.1277777777777791</v>
      </c>
      <c r="J42" s="186" t="s">
        <v>208</v>
      </c>
      <c r="K42" s="186" t="s">
        <v>199</v>
      </c>
      <c r="L42" s="189">
        <f>'利用が想定される中小企業(専門・技術サービス業)'!D9</f>
        <v>150</v>
      </c>
      <c r="M42" s="186" t="s">
        <v>211</v>
      </c>
      <c r="N42" s="186" t="s">
        <v>196</v>
      </c>
      <c r="O42" s="207">
        <f>F42*I42*L42</f>
        <v>2174.6850000000004</v>
      </c>
      <c r="P42" s="186" t="s">
        <v>212</v>
      </c>
      <c r="Q42" s="14"/>
    </row>
    <row r="43" spans="2:24" x14ac:dyDescent="0.15">
      <c r="B43" s="13"/>
      <c r="C43" s="3" t="s">
        <v>213</v>
      </c>
      <c r="D43" s="3"/>
      <c r="E43" s="3"/>
      <c r="F43" s="211"/>
      <c r="G43" s="211"/>
      <c r="H43" s="211"/>
      <c r="I43" s="212">
        <f>'利用が想定される中小企業(専門・技術サービス業)'!$D$4</f>
        <v>825</v>
      </c>
      <c r="J43" s="193" t="s">
        <v>214</v>
      </c>
      <c r="K43" s="193" t="s">
        <v>199</v>
      </c>
      <c r="L43" s="213">
        <f>(O19-O27)/8/'利用が想定される中小企業(専門・技術サービス業)'!D14</f>
        <v>0.89097222222222239</v>
      </c>
      <c r="M43" s="193" t="s">
        <v>264</v>
      </c>
      <c r="N43" s="193" t="s">
        <v>196</v>
      </c>
      <c r="O43" s="214">
        <f>I43*L43</f>
        <v>735.05208333333348</v>
      </c>
      <c r="P43" s="193" t="s">
        <v>212</v>
      </c>
      <c r="Q43" s="14"/>
    </row>
    <row r="44" spans="2:24" x14ac:dyDescent="0.15">
      <c r="B44" s="13"/>
      <c r="C44" t="s">
        <v>215</v>
      </c>
      <c r="F44" s="186"/>
      <c r="G44" s="186"/>
      <c r="H44" s="186"/>
      <c r="I44" s="215"/>
      <c r="J44" s="186"/>
      <c r="K44" s="186"/>
      <c r="L44" s="186"/>
      <c r="M44" s="186"/>
      <c r="N44" s="186"/>
      <c r="O44" s="207">
        <f>SUM(O42:O43)</f>
        <v>2909.7370833333339</v>
      </c>
      <c r="P44" s="186"/>
      <c r="Q44" s="14"/>
    </row>
    <row r="45" spans="2:24" ht="14.25" thickBot="1" x14ac:dyDescent="0.2">
      <c r="B45" s="13"/>
      <c r="F45" s="186"/>
      <c r="G45" s="186"/>
      <c r="H45" s="186"/>
      <c r="I45" s="186"/>
      <c r="J45" s="186"/>
      <c r="K45" s="186"/>
      <c r="L45" s="186"/>
      <c r="M45" s="186"/>
      <c r="N45" s="186"/>
      <c r="O45" s="208"/>
      <c r="P45" s="186"/>
      <c r="Q45" s="14"/>
    </row>
    <row r="46" spans="2:24" ht="14.25" thickBot="1" x14ac:dyDescent="0.2">
      <c r="B46" s="13"/>
      <c r="C46" s="8" t="s">
        <v>216</v>
      </c>
      <c r="D46" s="8"/>
      <c r="F46" s="152"/>
      <c r="G46" s="186"/>
      <c r="H46" s="186"/>
      <c r="I46" s="207">
        <f>O40</f>
        <v>0</v>
      </c>
      <c r="J46" s="186" t="s">
        <v>209</v>
      </c>
      <c r="K46" s="186" t="s">
        <v>195</v>
      </c>
      <c r="L46" s="207">
        <f>O44</f>
        <v>2909.7370833333339</v>
      </c>
      <c r="M46" s="186" t="s">
        <v>212</v>
      </c>
      <c r="N46" s="186" t="s">
        <v>196</v>
      </c>
      <c r="O46" s="201">
        <f>IF(L46&lt;=0,0,I46/L46)</f>
        <v>0</v>
      </c>
      <c r="P46" s="186" t="s">
        <v>217</v>
      </c>
      <c r="Q46" s="14"/>
    </row>
    <row r="47" spans="2:24" x14ac:dyDescent="0.15">
      <c r="B47" s="13"/>
      <c r="C47" s="28" t="s">
        <v>218</v>
      </c>
      <c r="D47" s="8"/>
      <c r="F47" s="186"/>
      <c r="G47" s="186"/>
      <c r="H47" s="186"/>
      <c r="I47" s="216"/>
      <c r="J47" s="186"/>
      <c r="K47" s="186"/>
      <c r="L47" s="186"/>
      <c r="M47" s="186"/>
      <c r="N47" s="186"/>
      <c r="O47" s="196"/>
      <c r="P47" s="186"/>
      <c r="Q47" s="14"/>
    </row>
    <row r="48" spans="2:24" ht="14.25" thickBot="1" x14ac:dyDescent="0.2">
      <c r="B48" s="13"/>
      <c r="C48" s="28"/>
      <c r="D48" s="8"/>
      <c r="F48" s="186"/>
      <c r="G48" s="186"/>
      <c r="H48" s="186"/>
      <c r="I48" s="216"/>
      <c r="J48" s="186"/>
      <c r="K48" s="186"/>
      <c r="L48" s="186"/>
      <c r="M48" s="186"/>
      <c r="N48" s="186"/>
      <c r="O48" s="196"/>
      <c r="P48" s="186"/>
      <c r="Q48" s="14"/>
    </row>
    <row r="49" spans="2:18" ht="14.25" thickBot="1" x14ac:dyDescent="0.2">
      <c r="B49" s="13"/>
      <c r="C49" s="28" t="s">
        <v>204</v>
      </c>
      <c r="D49" s="8"/>
      <c r="F49" s="186"/>
      <c r="G49" s="186"/>
      <c r="H49" s="186"/>
      <c r="I49" s="216"/>
      <c r="J49" s="186"/>
      <c r="K49" s="186"/>
      <c r="L49" s="186"/>
      <c r="M49" s="186"/>
      <c r="N49" s="186"/>
      <c r="O49" s="201" t="str">
        <f>IF(AND(0&lt;O46,O46&lt;=6*80%),"適格","不適")</f>
        <v>不適</v>
      </c>
      <c r="P49" s="186"/>
      <c r="Q49" s="14"/>
    </row>
    <row r="50" spans="2:18" x14ac:dyDescent="0.15">
      <c r="B50" s="15"/>
      <c r="C50" s="19"/>
      <c r="D50" s="19"/>
      <c r="E50" s="3"/>
      <c r="F50" s="3"/>
      <c r="G50" s="3"/>
      <c r="H50" s="3"/>
      <c r="I50" s="3"/>
      <c r="J50" s="3"/>
      <c r="K50" s="3"/>
      <c r="L50" s="3"/>
      <c r="M50" s="3"/>
      <c r="N50" s="3"/>
      <c r="O50" s="3"/>
      <c r="P50" s="3"/>
      <c r="Q50" s="16"/>
    </row>
    <row r="51" spans="2:18" x14ac:dyDescent="0.15">
      <c r="R51" s="22" t="s">
        <v>16</v>
      </c>
    </row>
    <row r="52" spans="2:18" ht="5.25" customHeight="1" thickBot="1" x14ac:dyDescent="0.2">
      <c r="J52" s="10"/>
      <c r="K52" s="11"/>
      <c r="L52" s="11"/>
      <c r="M52" s="11"/>
      <c r="N52" s="11"/>
      <c r="O52" s="11"/>
      <c r="P52" s="11"/>
      <c r="Q52" s="12"/>
      <c r="R52" s="22"/>
    </row>
    <row r="53" spans="2:18" ht="18" thickBot="1" x14ac:dyDescent="0.2">
      <c r="J53" s="13"/>
      <c r="K53" s="220" t="s">
        <v>234</v>
      </c>
      <c r="O53" s="221" t="str">
        <f>IF(審1_専技小="適格",IF(審2_専技小="適格","〇","△"),"△")</f>
        <v>△</v>
      </c>
      <c r="Q53" s="14"/>
    </row>
    <row r="54" spans="2:18" ht="6" customHeight="1" x14ac:dyDescent="0.15">
      <c r="J54" s="15"/>
      <c r="K54" s="3"/>
      <c r="L54" s="3"/>
      <c r="M54" s="3"/>
      <c r="N54" s="3"/>
      <c r="O54" s="3"/>
      <c r="P54" s="3"/>
      <c r="Q54" s="16"/>
    </row>
  </sheetData>
  <sheetProtection algorithmName="SHA-512" hashValue="MddgZ31Ni9X08I3vEMw1shY6QRSnmVmeLn80Gm14GhZYkaItHl1l/fZ7xzQAYUU1Lfry2rWsoU57xSF3ZXu+KQ==" saltValue="yBNmFY0MiztKrbHjvs8org==" spinCount="100000" sheet="1" objects="1" scenarios="1"/>
  <mergeCells count="5">
    <mergeCell ref="C2:P2"/>
    <mergeCell ref="N4:P4"/>
    <mergeCell ref="D6:M6"/>
    <mergeCell ref="D7:M7"/>
    <mergeCell ref="D11:H11"/>
  </mergeCells>
  <phoneticPr fontId="1"/>
  <pageMargins left="0.7" right="0.7" top="0.75" bottom="0.75" header="0.3" footer="0.3"/>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20E8-36FC-4223-853E-B81E1E942A8E}">
  <sheetPr codeName="Sheet15">
    <tabColor theme="6" tint="0.79998168889431442"/>
    <pageSetUpPr fitToPage="1"/>
  </sheetPr>
  <dimension ref="B2:X54"/>
  <sheetViews>
    <sheetView view="pageBreakPreview" zoomScaleNormal="100" zoomScaleSheetLayoutView="100" workbookViewId="0"/>
  </sheetViews>
  <sheetFormatPr defaultRowHeight="13.5" x14ac:dyDescent="0.15"/>
  <cols>
    <col min="1" max="2" width="2.75" customWidth="1"/>
    <col min="3" max="3" width="28.125" customWidth="1"/>
    <col min="4" max="4" width="14.125" customWidth="1"/>
    <col min="5" max="5" width="2.625" customWidth="1"/>
    <col min="6" max="6" width="6.375" customWidth="1"/>
    <col min="8" max="8" width="3.375" customWidth="1"/>
    <col min="9" max="9" width="6" customWidth="1"/>
    <col min="10" max="10" width="9.75" customWidth="1"/>
    <col min="11" max="11" width="3.375" bestFit="1" customWidth="1"/>
    <col min="12" max="12" width="6.375" customWidth="1"/>
    <col min="13" max="13" width="9.375" bestFit="1" customWidth="1"/>
    <col min="14" max="14" width="3.375" bestFit="1" customWidth="1"/>
    <col min="15" max="15" width="10" customWidth="1"/>
    <col min="16" max="16" width="8.125" customWidth="1"/>
    <col min="17" max="18" width="2.875" customWidth="1"/>
  </cols>
  <sheetData>
    <row r="2" spans="2:17" ht="24" x14ac:dyDescent="0.15">
      <c r="C2" s="318" t="s">
        <v>192</v>
      </c>
      <c r="D2" s="318"/>
      <c r="E2" s="318"/>
      <c r="F2" s="318"/>
      <c r="G2" s="318"/>
      <c r="H2" s="318"/>
      <c r="I2" s="318"/>
      <c r="J2" s="318"/>
      <c r="K2" s="318"/>
      <c r="L2" s="318"/>
      <c r="M2" s="318"/>
      <c r="N2" s="318"/>
      <c r="O2" s="318"/>
      <c r="P2" s="318"/>
    </row>
    <row r="3" spans="2:17" ht="7.5" customHeight="1" x14ac:dyDescent="0.15">
      <c r="C3" s="23"/>
      <c r="D3" s="23"/>
      <c r="E3" s="23"/>
      <c r="F3" s="23"/>
      <c r="G3" s="23"/>
      <c r="H3" s="23"/>
      <c r="I3" s="23"/>
      <c r="J3" s="23"/>
      <c r="K3" s="23"/>
      <c r="L3" s="23"/>
      <c r="M3" s="23"/>
      <c r="N3" s="23"/>
      <c r="O3" s="23"/>
      <c r="P3" s="23"/>
    </row>
    <row r="4" spans="2:17" ht="15" customHeight="1" x14ac:dyDescent="0.15">
      <c r="C4" s="49" t="str">
        <f>"【"&amp;製品カテゴリ&amp;"】"</f>
        <v>【測量機（自動視準・自動追尾機能付き高機能トータルステーション）】</v>
      </c>
      <c r="D4" s="23"/>
      <c r="E4" s="23"/>
      <c r="F4" s="23"/>
      <c r="G4" s="23"/>
      <c r="H4" s="23"/>
      <c r="I4" s="23"/>
      <c r="J4" s="23"/>
      <c r="K4" s="24"/>
      <c r="L4" s="24"/>
      <c r="M4" s="24"/>
      <c r="N4" s="664" t="s">
        <v>326</v>
      </c>
      <c r="O4" s="664"/>
      <c r="P4" s="664"/>
    </row>
    <row r="5" spans="2:17" ht="7.5" customHeight="1" x14ac:dyDescent="0.15">
      <c r="C5" s="23"/>
      <c r="D5" s="23"/>
      <c r="E5" s="23"/>
      <c r="F5" s="23"/>
      <c r="G5" s="23"/>
      <c r="H5" s="23"/>
      <c r="I5" s="23"/>
      <c r="J5" s="23"/>
      <c r="K5" s="23"/>
      <c r="L5" s="23"/>
      <c r="M5" s="23"/>
      <c r="N5" s="23"/>
      <c r="O5" s="23"/>
      <c r="P5" s="23"/>
    </row>
    <row r="6" spans="2:17" x14ac:dyDescent="0.15">
      <c r="C6" s="6" t="s">
        <v>1</v>
      </c>
      <c r="D6" s="665">
        <f>製造事業者名</f>
        <v>0</v>
      </c>
      <c r="E6" s="665"/>
      <c r="F6" s="665"/>
      <c r="G6" s="665"/>
      <c r="H6" s="665"/>
      <c r="I6" s="665"/>
      <c r="J6" s="665"/>
      <c r="K6" s="665"/>
      <c r="L6" s="665"/>
      <c r="M6" s="665"/>
    </row>
    <row r="7" spans="2:17" x14ac:dyDescent="0.15">
      <c r="C7" s="6" t="s">
        <v>2</v>
      </c>
      <c r="D7" s="665">
        <f>型番</f>
        <v>0</v>
      </c>
      <c r="E7" s="665"/>
      <c r="F7" s="665"/>
      <c r="G7" s="665"/>
      <c r="H7" s="665"/>
      <c r="I7" s="665"/>
      <c r="J7" s="665"/>
      <c r="K7" s="665"/>
      <c r="L7" s="665"/>
      <c r="M7" s="665"/>
    </row>
    <row r="9" spans="2:17" x14ac:dyDescent="0.15">
      <c r="C9" s="148" t="s">
        <v>233</v>
      </c>
      <c r="D9" s="148"/>
    </row>
    <row r="10" spans="2:17" x14ac:dyDescent="0.15">
      <c r="C10" s="148"/>
      <c r="D10" s="148"/>
    </row>
    <row r="11" spans="2:17" x14ac:dyDescent="0.15">
      <c r="C11" s="27" t="s">
        <v>193</v>
      </c>
      <c r="D11" s="666" t="s">
        <v>331</v>
      </c>
      <c r="E11" s="667"/>
      <c r="F11" s="667"/>
      <c r="G11" s="667"/>
      <c r="H11" s="668"/>
    </row>
    <row r="13" spans="2:17" ht="17.25" x14ac:dyDescent="0.15">
      <c r="B13" s="10"/>
      <c r="C13" s="18" t="s">
        <v>194</v>
      </c>
      <c r="D13" s="18"/>
      <c r="E13" s="11"/>
      <c r="F13" s="11"/>
      <c r="G13" s="11"/>
      <c r="H13" s="11"/>
      <c r="I13" s="11"/>
      <c r="J13" s="11"/>
      <c r="K13" s="11"/>
      <c r="L13" s="11"/>
      <c r="M13" s="11"/>
      <c r="N13" s="11"/>
      <c r="O13" s="11"/>
      <c r="P13" s="11"/>
      <c r="Q13" s="12"/>
    </row>
    <row r="14" spans="2:17" x14ac:dyDescent="0.15">
      <c r="B14" s="13"/>
      <c r="C14" s="7"/>
      <c r="D14" s="7"/>
      <c r="G14" s="4"/>
      <c r="J14" s="4"/>
      <c r="Q14" s="14"/>
    </row>
    <row r="15" spans="2:17" x14ac:dyDescent="0.15">
      <c r="B15" s="13"/>
      <c r="C15" s="149" t="s">
        <v>247</v>
      </c>
      <c r="D15" s="7"/>
      <c r="F15" s="188">
        <v>81</v>
      </c>
      <c r="G15" s="186" t="s">
        <v>248</v>
      </c>
      <c r="H15" s="186" t="s">
        <v>199</v>
      </c>
      <c r="I15" s="189">
        <f>'利用が想定される中小企業(専門・技術サービス業)'!E11*'利用が想定される中小企業(専門・技術サービス業)'!E8</f>
        <v>50</v>
      </c>
      <c r="J15" s="186" t="s">
        <v>219</v>
      </c>
      <c r="K15" s="186" t="s">
        <v>195</v>
      </c>
      <c r="L15" s="189">
        <v>3600</v>
      </c>
      <c r="M15" s="186" t="s">
        <v>249</v>
      </c>
      <c r="N15" s="186" t="s">
        <v>196</v>
      </c>
      <c r="O15" s="190">
        <f>F15*I15/L15</f>
        <v>1.125</v>
      </c>
      <c r="P15" s="186" t="s">
        <v>197</v>
      </c>
      <c r="Q15" s="14"/>
    </row>
    <row r="16" spans="2:17" x14ac:dyDescent="0.15">
      <c r="B16" s="13"/>
      <c r="C16" s="149" t="s">
        <v>250</v>
      </c>
      <c r="D16" s="7"/>
      <c r="F16" s="188">
        <v>25</v>
      </c>
      <c r="G16" s="186" t="s">
        <v>248</v>
      </c>
      <c r="H16" s="186" t="s">
        <v>199</v>
      </c>
      <c r="I16" s="189">
        <f>'利用が想定される中小企業(専門・技術サービス業)'!E12*'利用が想定される中小企業(専門・技術サービス業)'!E11*'利用が想定される中小企業(専門・技術サービス業)'!E8</f>
        <v>1500</v>
      </c>
      <c r="J16" s="186" t="s">
        <v>219</v>
      </c>
      <c r="K16" s="186" t="s">
        <v>195</v>
      </c>
      <c r="L16" s="189">
        <v>3600</v>
      </c>
      <c r="M16" s="186" t="s">
        <v>249</v>
      </c>
      <c r="N16" s="186" t="s">
        <v>196</v>
      </c>
      <c r="O16" s="191">
        <f>F16*I16/L16</f>
        <v>10.416666666666666</v>
      </c>
      <c r="P16" s="186" t="s">
        <v>197</v>
      </c>
      <c r="Q16" s="14"/>
    </row>
    <row r="17" spans="2:17" x14ac:dyDescent="0.15">
      <c r="B17" s="13"/>
      <c r="C17" s="149" t="s">
        <v>251</v>
      </c>
      <c r="D17" s="7"/>
      <c r="F17" s="188">
        <v>360</v>
      </c>
      <c r="G17" s="186" t="s">
        <v>248</v>
      </c>
      <c r="H17" s="186" t="s">
        <v>199</v>
      </c>
      <c r="I17" s="189">
        <f>'利用が想定される中小企業(専門・技術サービス業)'!E8</f>
        <v>5</v>
      </c>
      <c r="J17" s="186" t="s">
        <v>219</v>
      </c>
      <c r="K17" s="186" t="s">
        <v>195</v>
      </c>
      <c r="L17" s="189">
        <v>3600</v>
      </c>
      <c r="M17" s="186" t="s">
        <v>249</v>
      </c>
      <c r="N17" s="186" t="s">
        <v>196</v>
      </c>
      <c r="O17" s="191">
        <f>F17*I17/L17</f>
        <v>0.5</v>
      </c>
      <c r="P17" s="186" t="s">
        <v>197</v>
      </c>
      <c r="Q17" s="14"/>
    </row>
    <row r="18" spans="2:17" x14ac:dyDescent="0.15">
      <c r="B18" s="13"/>
      <c r="C18" s="150" t="s">
        <v>252</v>
      </c>
      <c r="D18" s="3"/>
      <c r="E18" s="3"/>
      <c r="F18" s="192"/>
      <c r="G18" s="193"/>
      <c r="H18" s="193"/>
      <c r="I18" s="194">
        <f>'利用が想定される中小企業(専門・技術サービス業)'!E8</f>
        <v>5</v>
      </c>
      <c r="J18" s="193" t="s">
        <v>253</v>
      </c>
      <c r="K18" s="193" t="s">
        <v>199</v>
      </c>
      <c r="L18" s="194">
        <f>'利用が想定される中小企業(専門・技術サービス業)'!E10+2</f>
        <v>7.052777777777778</v>
      </c>
      <c r="M18" s="193" t="s">
        <v>197</v>
      </c>
      <c r="N18" s="193" t="s">
        <v>196</v>
      </c>
      <c r="O18" s="195">
        <f>I18*L18</f>
        <v>35.263888888888893</v>
      </c>
      <c r="P18" s="193" t="s">
        <v>197</v>
      </c>
      <c r="Q18" s="14"/>
    </row>
    <row r="19" spans="2:17" x14ac:dyDescent="0.15">
      <c r="B19" s="13"/>
      <c r="C19" t="s">
        <v>198</v>
      </c>
      <c r="F19" s="186"/>
      <c r="G19" s="186"/>
      <c r="H19" s="186"/>
      <c r="I19" s="186"/>
      <c r="J19" s="186"/>
      <c r="K19" s="186"/>
      <c r="L19" s="186"/>
      <c r="M19" s="186"/>
      <c r="N19" s="186"/>
      <c r="O19" s="191">
        <f>SUM(O15:O18)</f>
        <v>47.305555555555557</v>
      </c>
      <c r="P19" s="186" t="s">
        <v>197</v>
      </c>
      <c r="Q19" s="14"/>
    </row>
    <row r="20" spans="2:17" x14ac:dyDescent="0.15">
      <c r="B20" s="13"/>
      <c r="C20" t="s">
        <v>254</v>
      </c>
      <c r="F20" s="186"/>
      <c r="G20" s="186"/>
      <c r="H20" s="186"/>
      <c r="I20" s="186"/>
      <c r="J20" s="186"/>
      <c r="K20" s="186"/>
      <c r="L20" s="186"/>
      <c r="M20" s="186"/>
      <c r="N20" s="186"/>
      <c r="O20" s="196"/>
      <c r="P20" s="186"/>
      <c r="Q20" s="14"/>
    </row>
    <row r="21" spans="2:17" x14ac:dyDescent="0.15">
      <c r="B21" s="13"/>
      <c r="F21" s="186"/>
      <c r="G21" s="186"/>
      <c r="H21" s="186"/>
      <c r="I21" s="186"/>
      <c r="J21" s="186"/>
      <c r="K21" s="186"/>
      <c r="L21" s="186"/>
      <c r="M21" s="186"/>
      <c r="N21" s="186"/>
      <c r="O21" s="196"/>
      <c r="P21" s="186"/>
      <c r="Q21" s="14"/>
    </row>
    <row r="22" spans="2:17" x14ac:dyDescent="0.15">
      <c r="B22" s="13"/>
      <c r="C22" t="s">
        <v>255</v>
      </c>
      <c r="F22" s="188">
        <v>450</v>
      </c>
      <c r="G22" s="186" t="s">
        <v>248</v>
      </c>
      <c r="H22" s="186" t="s">
        <v>199</v>
      </c>
      <c r="I22" s="189">
        <f>'利用が想定される中小企業(専門・技術サービス業)'!E8</f>
        <v>5</v>
      </c>
      <c r="J22" s="186" t="s">
        <v>253</v>
      </c>
      <c r="K22" s="186" t="s">
        <v>195</v>
      </c>
      <c r="L22" s="189">
        <v>3600</v>
      </c>
      <c r="M22" s="186" t="s">
        <v>249</v>
      </c>
      <c r="N22" s="186" t="s">
        <v>196</v>
      </c>
      <c r="O22" s="191">
        <f>F22*I22/L22</f>
        <v>0.625</v>
      </c>
      <c r="P22" s="186" t="s">
        <v>197</v>
      </c>
      <c r="Q22" s="14"/>
    </row>
    <row r="23" spans="2:17" x14ac:dyDescent="0.15">
      <c r="B23" s="13"/>
      <c r="C23" t="s">
        <v>256</v>
      </c>
      <c r="F23" s="188">
        <v>141</v>
      </c>
      <c r="G23" s="186" t="s">
        <v>248</v>
      </c>
      <c r="H23" s="186" t="s">
        <v>199</v>
      </c>
      <c r="I23" s="189">
        <f>'利用が想定される中小企業(専門・技術サービス業)'!E11*'利用が想定される中小企業(専門・技術サービス業)'!E8</f>
        <v>50</v>
      </c>
      <c r="J23" s="186" t="s">
        <v>219</v>
      </c>
      <c r="K23" s="186" t="s">
        <v>195</v>
      </c>
      <c r="L23" s="189">
        <v>3600</v>
      </c>
      <c r="M23" s="186" t="s">
        <v>249</v>
      </c>
      <c r="N23" s="186" t="s">
        <v>196</v>
      </c>
      <c r="O23" s="191">
        <f>F23*I23/L23</f>
        <v>1.9583333333333333</v>
      </c>
      <c r="P23" s="186" t="s">
        <v>197</v>
      </c>
      <c r="Q23" s="14"/>
    </row>
    <row r="24" spans="2:17" x14ac:dyDescent="0.15">
      <c r="B24" s="13"/>
      <c r="C24" t="s">
        <v>257</v>
      </c>
      <c r="F24" s="188">
        <v>11</v>
      </c>
      <c r="G24" s="186" t="s">
        <v>248</v>
      </c>
      <c r="H24" s="186" t="s">
        <v>199</v>
      </c>
      <c r="I24" s="189">
        <f>'利用が想定される中小企業(専門・技術サービス業)'!E12*'利用が想定される中小企業(専門・技術サービス業)'!E11*'利用が想定される中小企業(専門・技術サービス業)'!E8</f>
        <v>1500</v>
      </c>
      <c r="J24" s="186" t="s">
        <v>219</v>
      </c>
      <c r="K24" s="186" t="s">
        <v>195</v>
      </c>
      <c r="L24" s="189">
        <v>3600</v>
      </c>
      <c r="M24" s="186" t="s">
        <v>249</v>
      </c>
      <c r="N24" s="186" t="s">
        <v>196</v>
      </c>
      <c r="O24" s="191">
        <f>F24*I24/L24</f>
        <v>4.583333333333333</v>
      </c>
      <c r="P24" s="186" t="s">
        <v>197</v>
      </c>
      <c r="Q24" s="14"/>
    </row>
    <row r="25" spans="2:17" x14ac:dyDescent="0.15">
      <c r="B25" s="13"/>
      <c r="C25" t="s">
        <v>258</v>
      </c>
      <c r="F25" s="189">
        <v>540</v>
      </c>
      <c r="G25" s="186" t="s">
        <v>248</v>
      </c>
      <c r="H25" s="186" t="s">
        <v>199</v>
      </c>
      <c r="I25" s="189">
        <f>'利用が想定される中小企業(専門・技術サービス業)'!E8</f>
        <v>5</v>
      </c>
      <c r="J25" s="186" t="s">
        <v>219</v>
      </c>
      <c r="K25" s="186" t="s">
        <v>195</v>
      </c>
      <c r="L25" s="189">
        <v>3600</v>
      </c>
      <c r="M25" s="186" t="s">
        <v>249</v>
      </c>
      <c r="N25" s="186" t="s">
        <v>196</v>
      </c>
      <c r="O25" s="191">
        <f>F25*I25/L25</f>
        <v>0.75</v>
      </c>
      <c r="P25" s="186" t="s">
        <v>197</v>
      </c>
      <c r="Q25" s="14"/>
    </row>
    <row r="26" spans="2:17" x14ac:dyDescent="0.15">
      <c r="B26" s="13"/>
      <c r="C26" s="3" t="s">
        <v>259</v>
      </c>
      <c r="D26" s="3"/>
      <c r="E26" s="3"/>
      <c r="F26" s="197">
        <f>IF(自動追尾機能="有",0,9)</f>
        <v>9</v>
      </c>
      <c r="G26" s="193" t="s">
        <v>248</v>
      </c>
      <c r="H26" s="193" t="s">
        <v>199</v>
      </c>
      <c r="I26" s="194">
        <f>'利用が想定される中小企業(専門・技術サービス業)'!E12*'利用が想定される中小企業(専門・技術サービス業)'!E11*'利用が想定される中小企業(専門・技術サービス業)'!E8</f>
        <v>1500</v>
      </c>
      <c r="J26" s="193" t="s">
        <v>219</v>
      </c>
      <c r="K26" s="193" t="s">
        <v>195</v>
      </c>
      <c r="L26" s="194">
        <v>3600</v>
      </c>
      <c r="M26" s="193" t="s">
        <v>249</v>
      </c>
      <c r="N26" s="193" t="s">
        <v>196</v>
      </c>
      <c r="O26" s="198">
        <f>F26*I26/L26</f>
        <v>3.75</v>
      </c>
      <c r="P26" s="193" t="s">
        <v>197</v>
      </c>
      <c r="Q26" s="14"/>
    </row>
    <row r="27" spans="2:17" x14ac:dyDescent="0.15">
      <c r="B27" s="13"/>
      <c r="C27" t="s">
        <v>200</v>
      </c>
      <c r="F27" s="186"/>
      <c r="G27" s="186"/>
      <c r="H27" s="186"/>
      <c r="I27" s="186"/>
      <c r="J27" s="186"/>
      <c r="K27" s="186"/>
      <c r="L27" s="186"/>
      <c r="M27" s="186"/>
      <c r="N27" s="186"/>
      <c r="O27" s="199">
        <f>SUM(O22:O26)</f>
        <v>11.666666666666666</v>
      </c>
      <c r="P27" s="186" t="s">
        <v>197</v>
      </c>
      <c r="Q27" s="14"/>
    </row>
    <row r="28" spans="2:17" x14ac:dyDescent="0.15">
      <c r="B28" s="13"/>
      <c r="C28" t="s">
        <v>260</v>
      </c>
      <c r="F28" s="186"/>
      <c r="G28" s="186"/>
      <c r="H28" s="186"/>
      <c r="I28" s="186"/>
      <c r="J28" s="186"/>
      <c r="K28" s="186"/>
      <c r="L28" s="186"/>
      <c r="M28" s="186"/>
      <c r="N28" s="186"/>
      <c r="O28" s="196"/>
      <c r="P28" s="186"/>
      <c r="Q28" s="14"/>
    </row>
    <row r="29" spans="2:17" ht="14.25" thickBot="1" x14ac:dyDescent="0.2">
      <c r="B29" s="13"/>
      <c r="F29" s="186"/>
      <c r="G29" s="186"/>
      <c r="H29" s="186"/>
      <c r="I29" s="186"/>
      <c r="J29" s="186"/>
      <c r="K29" s="186"/>
      <c r="L29" s="186"/>
      <c r="M29" s="186"/>
      <c r="N29" s="186"/>
      <c r="O29" s="196"/>
      <c r="P29" s="186"/>
      <c r="Q29" s="14"/>
    </row>
    <row r="30" spans="2:17" ht="14.25" thickBot="1" x14ac:dyDescent="0.2">
      <c r="B30" s="13"/>
      <c r="C30" s="8" t="s">
        <v>327</v>
      </c>
      <c r="D30" s="8"/>
      <c r="E30" s="6" t="s">
        <v>261</v>
      </c>
      <c r="F30" s="191">
        <f>O19</f>
        <v>47.305555555555557</v>
      </c>
      <c r="G30" s="186" t="s">
        <v>197</v>
      </c>
      <c r="H30" s="186" t="s">
        <v>44</v>
      </c>
      <c r="I30" s="191">
        <f>O27</f>
        <v>11.666666666666666</v>
      </c>
      <c r="J30" s="200" t="s">
        <v>333</v>
      </c>
      <c r="K30" s="186" t="s">
        <v>195</v>
      </c>
      <c r="L30" s="191">
        <f>O19</f>
        <v>47.305555555555557</v>
      </c>
      <c r="M30" s="186" t="s">
        <v>197</v>
      </c>
      <c r="N30" s="186" t="s">
        <v>201</v>
      </c>
      <c r="O30" s="201">
        <f>(F30-I30)/L30</f>
        <v>0.75337639459776873</v>
      </c>
      <c r="P30" s="186" t="s">
        <v>202</v>
      </c>
      <c r="Q30" s="14"/>
    </row>
    <row r="31" spans="2:17" x14ac:dyDescent="0.15">
      <c r="B31" s="13"/>
      <c r="C31" s="28" t="s">
        <v>203</v>
      </c>
      <c r="D31" s="28"/>
      <c r="F31" s="186"/>
      <c r="G31" s="186"/>
      <c r="H31" s="186"/>
      <c r="I31" s="186"/>
      <c r="J31" s="186"/>
      <c r="K31" s="186"/>
      <c r="L31" s="186"/>
      <c r="M31" s="186"/>
      <c r="N31" s="186"/>
      <c r="O31" s="186"/>
      <c r="P31" s="186"/>
      <c r="Q31" s="14"/>
    </row>
    <row r="32" spans="2:17" ht="14.25" thickBot="1" x14ac:dyDescent="0.2">
      <c r="B32" s="13"/>
      <c r="C32" s="28"/>
      <c r="D32" s="28"/>
      <c r="F32" s="186"/>
      <c r="G32" s="186"/>
      <c r="H32" s="186"/>
      <c r="I32" s="186"/>
      <c r="J32" s="186"/>
      <c r="K32" s="186"/>
      <c r="L32" s="186"/>
      <c r="M32" s="186"/>
      <c r="N32" s="186"/>
      <c r="O32" s="186"/>
      <c r="P32" s="186"/>
      <c r="Q32" s="14"/>
    </row>
    <row r="33" spans="2:24" ht="14.25" thickBot="1" x14ac:dyDescent="0.2">
      <c r="B33" s="13"/>
      <c r="C33" s="28" t="s">
        <v>204</v>
      </c>
      <c r="D33" s="28"/>
      <c r="F33" s="186"/>
      <c r="G33" s="186"/>
      <c r="H33" s="186"/>
      <c r="I33" s="186"/>
      <c r="J33" s="186"/>
      <c r="K33" s="186"/>
      <c r="L33" s="186"/>
      <c r="M33" s="186"/>
      <c r="N33" s="186"/>
      <c r="O33" s="202" t="str">
        <f>IF(O30&gt;=0.2,"適格","不適")</f>
        <v>適格</v>
      </c>
      <c r="P33" s="186"/>
      <c r="Q33" s="14"/>
    </row>
    <row r="34" spans="2:24" x14ac:dyDescent="0.15">
      <c r="B34" s="15"/>
      <c r="C34" s="19"/>
      <c r="D34" s="151"/>
      <c r="E34" s="3"/>
      <c r="F34" s="193"/>
      <c r="G34" s="193"/>
      <c r="H34" s="193"/>
      <c r="I34" s="193"/>
      <c r="J34" s="193"/>
      <c r="K34" s="193"/>
      <c r="L34" s="193"/>
      <c r="M34" s="193"/>
      <c r="N34" s="193"/>
      <c r="O34" s="193"/>
      <c r="P34" s="193"/>
      <c r="Q34" s="16"/>
    </row>
    <row r="35" spans="2:24" x14ac:dyDescent="0.15">
      <c r="F35" s="186"/>
      <c r="G35" s="186"/>
      <c r="H35" s="186"/>
      <c r="I35" s="186"/>
      <c r="J35" s="186"/>
      <c r="K35" s="186"/>
      <c r="L35" s="186"/>
      <c r="M35" s="186"/>
      <c r="N35" s="186"/>
      <c r="O35" s="186"/>
      <c r="P35" s="186"/>
      <c r="X35" s="9"/>
    </row>
    <row r="36" spans="2:24" ht="17.25" x14ac:dyDescent="0.15">
      <c r="B36" s="10"/>
      <c r="C36" s="18" t="s">
        <v>205</v>
      </c>
      <c r="D36" s="18"/>
      <c r="E36" s="11"/>
      <c r="F36" s="204"/>
      <c r="G36" s="204"/>
      <c r="H36" s="204"/>
      <c r="I36" s="204"/>
      <c r="J36" s="204"/>
      <c r="K36" s="204"/>
      <c r="L36" s="204"/>
      <c r="M36" s="204"/>
      <c r="N36" s="204"/>
      <c r="O36" s="204"/>
      <c r="P36" s="204"/>
      <c r="Q36" s="12"/>
    </row>
    <row r="37" spans="2:24" ht="14.25" thickBot="1" x14ac:dyDescent="0.2">
      <c r="B37" s="13"/>
      <c r="F37" s="186"/>
      <c r="G37" s="186"/>
      <c r="H37" s="186"/>
      <c r="I37" s="186"/>
      <c r="J37" s="186"/>
      <c r="K37" s="186"/>
      <c r="L37" s="186"/>
      <c r="M37" s="186"/>
      <c r="N37" s="186"/>
      <c r="O37" s="186"/>
      <c r="P37" s="186"/>
      <c r="Q37" s="14"/>
    </row>
    <row r="38" spans="2:24" ht="14.25" thickBot="1" x14ac:dyDescent="0.2">
      <c r="B38" s="13"/>
      <c r="C38" t="s">
        <v>206</v>
      </c>
      <c r="F38" s="186"/>
      <c r="G38" s="186"/>
      <c r="H38" s="186"/>
      <c r="I38" s="186"/>
      <c r="J38" s="186"/>
      <c r="K38" s="186"/>
      <c r="L38" s="186"/>
      <c r="M38" s="186"/>
      <c r="N38" s="186"/>
      <c r="O38" s="205">
        <f>機器費用/1000</f>
        <v>0</v>
      </c>
      <c r="P38" s="186" t="s">
        <v>207</v>
      </c>
      <c r="Q38" s="14"/>
    </row>
    <row r="39" spans="2:24" ht="14.25" thickBot="1" x14ac:dyDescent="0.2">
      <c r="B39" s="13"/>
      <c r="C39" s="3" t="s">
        <v>325</v>
      </c>
      <c r="D39" s="3"/>
      <c r="E39" s="3"/>
      <c r="F39" s="193"/>
      <c r="G39" s="193"/>
      <c r="H39" s="193"/>
      <c r="I39" s="193"/>
      <c r="J39" s="193"/>
      <c r="K39" s="193"/>
      <c r="L39" s="193"/>
      <c r="M39" s="193"/>
      <c r="N39" s="193"/>
      <c r="O39" s="206">
        <f>設定費用/1000</f>
        <v>0</v>
      </c>
      <c r="P39" s="193" t="s">
        <v>207</v>
      </c>
      <c r="Q39" s="14"/>
    </row>
    <row r="40" spans="2:24" x14ac:dyDescent="0.15">
      <c r="B40" s="13"/>
      <c r="C40" t="s">
        <v>262</v>
      </c>
      <c r="F40" s="186"/>
      <c r="G40" s="186"/>
      <c r="H40" s="186"/>
      <c r="I40" s="186"/>
      <c r="J40" s="186"/>
      <c r="K40" s="186"/>
      <c r="L40" s="186"/>
      <c r="M40" s="186"/>
      <c r="N40" s="186"/>
      <c r="O40" s="207">
        <f>SUM(O38:O39)</f>
        <v>0</v>
      </c>
      <c r="P40" s="186" t="s">
        <v>209</v>
      </c>
      <c r="Q40" s="14"/>
    </row>
    <row r="41" spans="2:24" x14ac:dyDescent="0.15">
      <c r="B41" s="13"/>
      <c r="F41" s="186"/>
      <c r="G41" s="186"/>
      <c r="H41" s="186"/>
      <c r="I41" s="186"/>
      <c r="J41" s="186"/>
      <c r="K41" s="186"/>
      <c r="L41" s="186"/>
      <c r="M41" s="186"/>
      <c r="N41" s="186"/>
      <c r="O41" s="208"/>
      <c r="P41" s="186"/>
      <c r="Q41" s="14"/>
      <c r="V41" s="152"/>
    </row>
    <row r="42" spans="2:24" x14ac:dyDescent="0.15">
      <c r="B42" s="13"/>
      <c r="C42" t="s">
        <v>210</v>
      </c>
      <c r="F42" s="209">
        <f>'利用が想定される中小企業(専門・技術サービス業)'!$E$3</f>
        <v>2.0339999999999998</v>
      </c>
      <c r="G42" s="186" t="s">
        <v>263</v>
      </c>
      <c r="H42" s="186" t="s">
        <v>199</v>
      </c>
      <c r="I42" s="210">
        <f>(O19-O27)/'利用が想定される中小企業(専門・技術サービス業)'!E14</f>
        <v>7.1277777777777782</v>
      </c>
      <c r="J42" s="186" t="s">
        <v>208</v>
      </c>
      <c r="K42" s="186" t="s">
        <v>199</v>
      </c>
      <c r="L42" s="189">
        <f>'利用が想定される中小企業(専門・技術サービス業)'!E9</f>
        <v>150</v>
      </c>
      <c r="M42" s="186" t="s">
        <v>211</v>
      </c>
      <c r="N42" s="186" t="s">
        <v>196</v>
      </c>
      <c r="O42" s="207">
        <f>F42*I42*L42</f>
        <v>2174.6849999999999</v>
      </c>
      <c r="P42" s="186" t="s">
        <v>212</v>
      </c>
      <c r="Q42" s="14"/>
    </row>
    <row r="43" spans="2:24" x14ac:dyDescent="0.15">
      <c r="B43" s="13"/>
      <c r="C43" s="3" t="s">
        <v>213</v>
      </c>
      <c r="D43" s="3"/>
      <c r="E43" s="3"/>
      <c r="F43" s="211"/>
      <c r="G43" s="211"/>
      <c r="H43" s="211"/>
      <c r="I43" s="212">
        <f>'利用が想定される中小企業(専門・技術サービス業)'!$E$4</f>
        <v>825</v>
      </c>
      <c r="J43" s="193" t="s">
        <v>214</v>
      </c>
      <c r="K43" s="193" t="s">
        <v>199</v>
      </c>
      <c r="L43" s="213">
        <f>(O19-O27)/8/'利用が想定される中小企業(専門・技術サービス業)'!E14</f>
        <v>0.89097222222222228</v>
      </c>
      <c r="M43" s="193" t="s">
        <v>264</v>
      </c>
      <c r="N43" s="193" t="s">
        <v>196</v>
      </c>
      <c r="O43" s="214">
        <f>I43*L43</f>
        <v>735.05208333333337</v>
      </c>
      <c r="P43" s="193" t="s">
        <v>212</v>
      </c>
      <c r="Q43" s="14"/>
    </row>
    <row r="44" spans="2:24" x14ac:dyDescent="0.15">
      <c r="B44" s="13"/>
      <c r="C44" t="s">
        <v>215</v>
      </c>
      <c r="F44" s="186"/>
      <c r="G44" s="186"/>
      <c r="H44" s="186"/>
      <c r="I44" s="215"/>
      <c r="J44" s="186"/>
      <c r="K44" s="186"/>
      <c r="L44" s="186"/>
      <c r="M44" s="186"/>
      <c r="N44" s="186"/>
      <c r="O44" s="207">
        <f>SUM(O42:O43)</f>
        <v>2909.7370833333334</v>
      </c>
      <c r="P44" s="186"/>
      <c r="Q44" s="14"/>
    </row>
    <row r="45" spans="2:24" ht="14.25" thickBot="1" x14ac:dyDescent="0.2">
      <c r="B45" s="13"/>
      <c r="F45" s="186"/>
      <c r="G45" s="186"/>
      <c r="H45" s="186"/>
      <c r="I45" s="186"/>
      <c r="J45" s="186"/>
      <c r="K45" s="186"/>
      <c r="L45" s="186"/>
      <c r="M45" s="186"/>
      <c r="N45" s="186"/>
      <c r="O45" s="208"/>
      <c r="P45" s="186"/>
      <c r="Q45" s="14"/>
    </row>
    <row r="46" spans="2:24" ht="14.25" thickBot="1" x14ac:dyDescent="0.2">
      <c r="B46" s="13"/>
      <c r="C46" s="8" t="s">
        <v>216</v>
      </c>
      <c r="D46" s="8"/>
      <c r="F46" s="152"/>
      <c r="G46" s="186"/>
      <c r="H46" s="186"/>
      <c r="I46" s="207">
        <f>O40</f>
        <v>0</v>
      </c>
      <c r="J46" s="186" t="s">
        <v>209</v>
      </c>
      <c r="K46" s="186" t="s">
        <v>195</v>
      </c>
      <c r="L46" s="207">
        <f>O44</f>
        <v>2909.7370833333334</v>
      </c>
      <c r="M46" s="186" t="s">
        <v>212</v>
      </c>
      <c r="N46" s="186" t="s">
        <v>196</v>
      </c>
      <c r="O46" s="201">
        <f>IF(L46&lt;=0,0,I46/L46)</f>
        <v>0</v>
      </c>
      <c r="P46" s="186" t="s">
        <v>217</v>
      </c>
      <c r="Q46" s="14"/>
    </row>
    <row r="47" spans="2:24" x14ac:dyDescent="0.15">
      <c r="B47" s="13"/>
      <c r="C47" s="28" t="s">
        <v>218</v>
      </c>
      <c r="D47" s="8"/>
      <c r="F47" s="186"/>
      <c r="G47" s="186"/>
      <c r="H47" s="186"/>
      <c r="I47" s="216"/>
      <c r="J47" s="186"/>
      <c r="K47" s="186"/>
      <c r="L47" s="186"/>
      <c r="M47" s="186"/>
      <c r="N47" s="186"/>
      <c r="O47" s="196"/>
      <c r="P47" s="186"/>
      <c r="Q47" s="14"/>
    </row>
    <row r="48" spans="2:24" ht="14.25" thickBot="1" x14ac:dyDescent="0.2">
      <c r="B48" s="13"/>
      <c r="C48" s="28"/>
      <c r="D48" s="8"/>
      <c r="F48" s="186"/>
      <c r="G48" s="186"/>
      <c r="H48" s="186"/>
      <c r="I48" s="216"/>
      <c r="J48" s="186"/>
      <c r="K48" s="186"/>
      <c r="L48" s="186"/>
      <c r="M48" s="186"/>
      <c r="N48" s="186"/>
      <c r="O48" s="196"/>
      <c r="P48" s="186"/>
      <c r="Q48" s="14"/>
    </row>
    <row r="49" spans="2:18" ht="14.25" thickBot="1" x14ac:dyDescent="0.2">
      <c r="B49" s="13"/>
      <c r="C49" s="28" t="s">
        <v>204</v>
      </c>
      <c r="D49" s="8"/>
      <c r="F49" s="186"/>
      <c r="G49" s="186"/>
      <c r="H49" s="186"/>
      <c r="I49" s="216"/>
      <c r="J49" s="186"/>
      <c r="K49" s="186"/>
      <c r="L49" s="186"/>
      <c r="M49" s="186"/>
      <c r="N49" s="186"/>
      <c r="O49" s="201" t="str">
        <f>IF(AND(0&lt;O46,O46&lt;=6*80%),"適格","不適")</f>
        <v>不適</v>
      </c>
      <c r="P49" s="186"/>
      <c r="Q49" s="14"/>
    </row>
    <row r="50" spans="2:18" x14ac:dyDescent="0.15">
      <c r="B50" s="15"/>
      <c r="C50" s="19"/>
      <c r="D50" s="19"/>
      <c r="E50" s="3"/>
      <c r="F50" s="211"/>
      <c r="G50" s="211"/>
      <c r="H50" s="211"/>
      <c r="I50" s="211"/>
      <c r="J50" s="211"/>
      <c r="K50" s="211"/>
      <c r="L50" s="211"/>
      <c r="M50" s="211"/>
      <c r="N50" s="211"/>
      <c r="O50" s="211"/>
      <c r="P50" s="211"/>
      <c r="Q50" s="16"/>
    </row>
    <row r="51" spans="2:18" x14ac:dyDescent="0.15">
      <c r="R51" s="22" t="s">
        <v>16</v>
      </c>
    </row>
    <row r="52" spans="2:18" ht="5.25" customHeight="1" thickBot="1" x14ac:dyDescent="0.2">
      <c r="J52" s="10"/>
      <c r="K52" s="11"/>
      <c r="L52" s="11"/>
      <c r="M52" s="11"/>
      <c r="N52" s="11"/>
      <c r="O52" s="11"/>
      <c r="P52" s="11"/>
      <c r="Q52" s="12"/>
      <c r="R52" s="22"/>
    </row>
    <row r="53" spans="2:18" ht="18" thickBot="1" x14ac:dyDescent="0.2">
      <c r="J53" s="13"/>
      <c r="K53" s="220" t="s">
        <v>234</v>
      </c>
      <c r="O53" s="221" t="str">
        <f>IF(審1_専技中="適格",IF(審2_専技中="適格","〇","△"),"△")</f>
        <v>△</v>
      </c>
      <c r="Q53" s="14"/>
    </row>
    <row r="54" spans="2:18" ht="6" customHeight="1" x14ac:dyDescent="0.15">
      <c r="J54" s="15"/>
      <c r="K54" s="3"/>
      <c r="L54" s="3"/>
      <c r="M54" s="3"/>
      <c r="N54" s="3"/>
      <c r="O54" s="3"/>
      <c r="P54" s="3"/>
      <c r="Q54" s="16"/>
    </row>
  </sheetData>
  <sheetProtection algorithmName="SHA-512" hashValue="Arot0veb97dVlnIQUMk1gkvKA0nrtUgGXfvLsfCJnD8VU095WNasQLuPFRpZhH4kHjNd2ki+AgfRa1mmOuWy6w==" saltValue="pXH7XAY4YTK0lqRsFG17Zg==" spinCount="100000" sheet="1" objects="1" scenarios="1"/>
  <mergeCells count="5">
    <mergeCell ref="C2:P2"/>
    <mergeCell ref="N4:P4"/>
    <mergeCell ref="D6:M6"/>
    <mergeCell ref="D7:M7"/>
    <mergeCell ref="D11:H11"/>
  </mergeCells>
  <phoneticPr fontId="1"/>
  <pageMargins left="0.7" right="0.7" top="0.75" bottom="0.75" header="0.3" footer="0.3"/>
  <pageSetup paperSize="9" scale="6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67B6-C002-4BFF-A4D8-BE4FA08A8F0F}">
  <sheetPr codeName="Sheet16">
    <tabColor theme="6" tint="0.79998168889431442"/>
    <pageSetUpPr fitToPage="1"/>
  </sheetPr>
  <dimension ref="B2:X54"/>
  <sheetViews>
    <sheetView view="pageBreakPreview" zoomScaleNormal="100" zoomScaleSheetLayoutView="100" workbookViewId="0"/>
  </sheetViews>
  <sheetFormatPr defaultRowHeight="13.5" x14ac:dyDescent="0.15"/>
  <cols>
    <col min="1" max="2" width="2.75" customWidth="1"/>
    <col min="3" max="3" width="28.125" customWidth="1"/>
    <col min="4" max="4" width="14.125" customWidth="1"/>
    <col min="5" max="5" width="2.625" customWidth="1"/>
    <col min="6" max="6" width="6.375" customWidth="1"/>
    <col min="8" max="8" width="3.375" customWidth="1"/>
    <col min="9" max="9" width="6" customWidth="1"/>
    <col min="10" max="10" width="9.75" customWidth="1"/>
    <col min="11" max="11" width="3.375" bestFit="1" customWidth="1"/>
    <col min="12" max="12" width="6.375" customWidth="1"/>
    <col min="13" max="13" width="9.375" bestFit="1" customWidth="1"/>
    <col min="14" max="14" width="3.375" bestFit="1" customWidth="1"/>
    <col min="15" max="15" width="10" customWidth="1"/>
    <col min="16" max="16" width="8.125" customWidth="1"/>
    <col min="17" max="18" width="2.875" customWidth="1"/>
  </cols>
  <sheetData>
    <row r="2" spans="2:17" ht="24" x14ac:dyDescent="0.15">
      <c r="C2" s="318" t="s">
        <v>192</v>
      </c>
      <c r="D2" s="318"/>
      <c r="E2" s="318"/>
      <c r="F2" s="318"/>
      <c r="G2" s="318"/>
      <c r="H2" s="318"/>
      <c r="I2" s="318"/>
      <c r="J2" s="318"/>
      <c r="K2" s="318"/>
      <c r="L2" s="318"/>
      <c r="M2" s="318"/>
      <c r="N2" s="318"/>
      <c r="O2" s="318"/>
      <c r="P2" s="318"/>
    </row>
    <row r="3" spans="2:17" ht="7.5" customHeight="1" x14ac:dyDescent="0.15">
      <c r="C3" s="23"/>
      <c r="D3" s="23"/>
      <c r="E3" s="23"/>
      <c r="F3" s="23"/>
      <c r="G3" s="23"/>
      <c r="H3" s="23"/>
      <c r="I3" s="23"/>
      <c r="J3" s="23"/>
      <c r="K3" s="23"/>
      <c r="L3" s="23"/>
      <c r="M3" s="23"/>
      <c r="N3" s="23"/>
      <c r="O3" s="23"/>
      <c r="P3" s="23"/>
    </row>
    <row r="4" spans="2:17" ht="15" customHeight="1" x14ac:dyDescent="0.15">
      <c r="C4" s="49" t="str">
        <f>"【"&amp;製品カテゴリ&amp;"】"</f>
        <v>【測量機（自動視準・自動追尾機能付き高機能トータルステーション）】</v>
      </c>
      <c r="D4" s="23"/>
      <c r="E4" s="23"/>
      <c r="F4" s="23"/>
      <c r="G4" s="23"/>
      <c r="H4" s="23"/>
      <c r="I4" s="23"/>
      <c r="J4" s="23"/>
      <c r="K4" s="24"/>
      <c r="L4" s="24"/>
      <c r="M4" s="24"/>
      <c r="N4" s="664" t="s">
        <v>326</v>
      </c>
      <c r="O4" s="664"/>
      <c r="P4" s="664"/>
    </row>
    <row r="5" spans="2:17" ht="7.5" customHeight="1" x14ac:dyDescent="0.15">
      <c r="C5" s="23"/>
      <c r="D5" s="23"/>
      <c r="E5" s="23"/>
      <c r="F5" s="23"/>
      <c r="G5" s="23"/>
      <c r="H5" s="23"/>
      <c r="I5" s="23"/>
      <c r="J5" s="23"/>
      <c r="K5" s="23"/>
      <c r="L5" s="23"/>
      <c r="M5" s="23"/>
      <c r="N5" s="23"/>
      <c r="O5" s="23"/>
      <c r="P5" s="23"/>
    </row>
    <row r="6" spans="2:17" x14ac:dyDescent="0.15">
      <c r="C6" s="6" t="s">
        <v>1</v>
      </c>
      <c r="D6" s="665">
        <f>製造事業者名</f>
        <v>0</v>
      </c>
      <c r="E6" s="665"/>
      <c r="F6" s="665"/>
      <c r="G6" s="665"/>
      <c r="H6" s="665"/>
      <c r="I6" s="665"/>
      <c r="J6" s="665"/>
      <c r="K6" s="665"/>
      <c r="L6" s="665"/>
      <c r="M6" s="665"/>
    </row>
    <row r="7" spans="2:17" x14ac:dyDescent="0.15">
      <c r="C7" s="6" t="s">
        <v>2</v>
      </c>
      <c r="D7" s="665">
        <f>型番</f>
        <v>0</v>
      </c>
      <c r="E7" s="665"/>
      <c r="F7" s="665"/>
      <c r="G7" s="665"/>
      <c r="H7" s="665"/>
      <c r="I7" s="665"/>
      <c r="J7" s="665"/>
      <c r="K7" s="665"/>
      <c r="L7" s="665"/>
      <c r="M7" s="665"/>
    </row>
    <row r="9" spans="2:17" x14ac:dyDescent="0.15">
      <c r="C9" s="148" t="s">
        <v>233</v>
      </c>
      <c r="D9" s="148"/>
    </row>
    <row r="10" spans="2:17" x14ac:dyDescent="0.15">
      <c r="C10" s="148"/>
      <c r="D10" s="148"/>
    </row>
    <row r="11" spans="2:17" x14ac:dyDescent="0.15">
      <c r="C11" s="27" t="s">
        <v>193</v>
      </c>
      <c r="D11" s="666" t="s">
        <v>332</v>
      </c>
      <c r="E11" s="667"/>
      <c r="F11" s="667"/>
      <c r="G11" s="667"/>
      <c r="H11" s="668"/>
    </row>
    <row r="13" spans="2:17" ht="17.25" x14ac:dyDescent="0.15">
      <c r="B13" s="10"/>
      <c r="C13" s="18" t="s">
        <v>194</v>
      </c>
      <c r="D13" s="18"/>
      <c r="E13" s="11"/>
      <c r="F13" s="184"/>
      <c r="G13" s="184"/>
      <c r="H13" s="184"/>
      <c r="I13" s="184"/>
      <c r="J13" s="184"/>
      <c r="K13" s="184"/>
      <c r="L13" s="184"/>
      <c r="M13" s="184"/>
      <c r="N13" s="184"/>
      <c r="O13" s="184"/>
      <c r="P13" s="184"/>
      <c r="Q13" s="185"/>
    </row>
    <row r="14" spans="2:17" x14ac:dyDescent="0.15">
      <c r="B14" s="13"/>
      <c r="C14" s="7"/>
      <c r="D14" s="7"/>
      <c r="F14" s="152"/>
      <c r="G14" s="186"/>
      <c r="H14" s="152"/>
      <c r="I14" s="152"/>
      <c r="J14" s="186"/>
      <c r="K14" s="152"/>
      <c r="L14" s="152"/>
      <c r="M14" s="152"/>
      <c r="N14" s="152"/>
      <c r="O14" s="152"/>
      <c r="P14" s="152"/>
      <c r="Q14" s="187"/>
    </row>
    <row r="15" spans="2:17" x14ac:dyDescent="0.15">
      <c r="B15" s="13"/>
      <c r="C15" s="149" t="s">
        <v>247</v>
      </c>
      <c r="D15" s="7"/>
      <c r="F15" s="188">
        <v>81</v>
      </c>
      <c r="G15" s="186" t="s">
        <v>248</v>
      </c>
      <c r="H15" s="186" t="s">
        <v>199</v>
      </c>
      <c r="I15" s="189">
        <f>'利用が想定される中小企業(専門・技術サービス業)'!F11*'利用が想定される中小企業(専門・技術サービス業)'!F8</f>
        <v>80</v>
      </c>
      <c r="J15" s="186" t="s">
        <v>219</v>
      </c>
      <c r="K15" s="186" t="s">
        <v>195</v>
      </c>
      <c r="L15" s="189">
        <v>3600</v>
      </c>
      <c r="M15" s="186" t="s">
        <v>249</v>
      </c>
      <c r="N15" s="186" t="s">
        <v>196</v>
      </c>
      <c r="O15" s="190">
        <f>F15*I15/L15</f>
        <v>1.8</v>
      </c>
      <c r="P15" s="186" t="s">
        <v>197</v>
      </c>
      <c r="Q15" s="187"/>
    </row>
    <row r="16" spans="2:17" x14ac:dyDescent="0.15">
      <c r="B16" s="13"/>
      <c r="C16" s="149" t="s">
        <v>250</v>
      </c>
      <c r="D16" s="7"/>
      <c r="F16" s="188">
        <v>25</v>
      </c>
      <c r="G16" s="186" t="s">
        <v>248</v>
      </c>
      <c r="H16" s="186" t="s">
        <v>199</v>
      </c>
      <c r="I16" s="189">
        <f>'利用が想定される中小企業(専門・技術サービス業)'!F12*'利用が想定される中小企業(専門・技術サービス業)'!F11*'利用が想定される中小企業(専門・技術サービス業)'!F8</f>
        <v>2400</v>
      </c>
      <c r="J16" s="186" t="s">
        <v>219</v>
      </c>
      <c r="K16" s="186" t="s">
        <v>195</v>
      </c>
      <c r="L16" s="189">
        <v>3600</v>
      </c>
      <c r="M16" s="186" t="s">
        <v>249</v>
      </c>
      <c r="N16" s="186" t="s">
        <v>196</v>
      </c>
      <c r="O16" s="191">
        <f>F16*I16/L16</f>
        <v>16.666666666666668</v>
      </c>
      <c r="P16" s="186" t="s">
        <v>197</v>
      </c>
      <c r="Q16" s="187"/>
    </row>
    <row r="17" spans="2:17" x14ac:dyDescent="0.15">
      <c r="B17" s="13"/>
      <c r="C17" s="149" t="s">
        <v>251</v>
      </c>
      <c r="D17" s="7"/>
      <c r="F17" s="188">
        <v>360</v>
      </c>
      <c r="G17" s="186" t="s">
        <v>248</v>
      </c>
      <c r="H17" s="186" t="s">
        <v>199</v>
      </c>
      <c r="I17" s="189">
        <f>'利用が想定される中小企業(専門・技術サービス業)'!F8</f>
        <v>8</v>
      </c>
      <c r="J17" s="186" t="s">
        <v>219</v>
      </c>
      <c r="K17" s="186" t="s">
        <v>195</v>
      </c>
      <c r="L17" s="189">
        <v>3600</v>
      </c>
      <c r="M17" s="186" t="s">
        <v>249</v>
      </c>
      <c r="N17" s="186" t="s">
        <v>196</v>
      </c>
      <c r="O17" s="191">
        <f>F17*I17/L17</f>
        <v>0.8</v>
      </c>
      <c r="P17" s="186" t="s">
        <v>197</v>
      </c>
      <c r="Q17" s="187"/>
    </row>
    <row r="18" spans="2:17" x14ac:dyDescent="0.15">
      <c r="B18" s="13"/>
      <c r="C18" s="150" t="s">
        <v>252</v>
      </c>
      <c r="D18" s="3"/>
      <c r="E18" s="3"/>
      <c r="F18" s="192"/>
      <c r="G18" s="193"/>
      <c r="H18" s="193"/>
      <c r="I18" s="194">
        <f>'利用が想定される中小企業(専門・技術サービス業)'!F8</f>
        <v>8</v>
      </c>
      <c r="J18" s="193" t="s">
        <v>253</v>
      </c>
      <c r="K18" s="193" t="s">
        <v>199</v>
      </c>
      <c r="L18" s="194">
        <f>'利用が想定される中小企業(専門・技術サービス業)'!F10+2</f>
        <v>7.052777777777778</v>
      </c>
      <c r="M18" s="193" t="s">
        <v>197</v>
      </c>
      <c r="N18" s="193" t="s">
        <v>196</v>
      </c>
      <c r="O18" s="195">
        <f>I18*L18</f>
        <v>56.422222222222224</v>
      </c>
      <c r="P18" s="193" t="s">
        <v>197</v>
      </c>
      <c r="Q18" s="187"/>
    </row>
    <row r="19" spans="2:17" x14ac:dyDescent="0.15">
      <c r="B19" s="13"/>
      <c r="C19" t="s">
        <v>198</v>
      </c>
      <c r="F19" s="186"/>
      <c r="G19" s="186"/>
      <c r="H19" s="186"/>
      <c r="I19" s="186"/>
      <c r="J19" s="186"/>
      <c r="K19" s="186"/>
      <c r="L19" s="186"/>
      <c r="M19" s="186"/>
      <c r="N19" s="186"/>
      <c r="O19" s="191">
        <f>SUM(O15:O18)</f>
        <v>75.688888888888897</v>
      </c>
      <c r="P19" s="186" t="s">
        <v>197</v>
      </c>
      <c r="Q19" s="187"/>
    </row>
    <row r="20" spans="2:17" x14ac:dyDescent="0.15">
      <c r="B20" s="13"/>
      <c r="C20" t="s">
        <v>254</v>
      </c>
      <c r="F20" s="186"/>
      <c r="G20" s="186"/>
      <c r="H20" s="186"/>
      <c r="I20" s="186"/>
      <c r="J20" s="186"/>
      <c r="K20" s="186"/>
      <c r="L20" s="186"/>
      <c r="M20" s="186"/>
      <c r="N20" s="186"/>
      <c r="O20" s="196"/>
      <c r="P20" s="186"/>
      <c r="Q20" s="187"/>
    </row>
    <row r="21" spans="2:17" x14ac:dyDescent="0.15">
      <c r="B21" s="13"/>
      <c r="F21" s="186"/>
      <c r="G21" s="186"/>
      <c r="H21" s="186"/>
      <c r="I21" s="186"/>
      <c r="J21" s="186"/>
      <c r="K21" s="186"/>
      <c r="L21" s="186"/>
      <c r="M21" s="186"/>
      <c r="N21" s="186"/>
      <c r="O21" s="196"/>
      <c r="P21" s="186"/>
      <c r="Q21" s="187"/>
    </row>
    <row r="22" spans="2:17" x14ac:dyDescent="0.15">
      <c r="B22" s="13"/>
      <c r="C22" t="s">
        <v>255</v>
      </c>
      <c r="F22" s="188">
        <v>450</v>
      </c>
      <c r="G22" s="186" t="s">
        <v>248</v>
      </c>
      <c r="H22" s="186" t="s">
        <v>199</v>
      </c>
      <c r="I22" s="189">
        <f>'利用が想定される中小企業(専門・技術サービス業)'!F8</f>
        <v>8</v>
      </c>
      <c r="J22" s="186" t="s">
        <v>253</v>
      </c>
      <c r="K22" s="186" t="s">
        <v>195</v>
      </c>
      <c r="L22" s="189">
        <v>3600</v>
      </c>
      <c r="M22" s="186" t="s">
        <v>249</v>
      </c>
      <c r="N22" s="186" t="s">
        <v>196</v>
      </c>
      <c r="O22" s="191">
        <f>F22*I22/L22</f>
        <v>1</v>
      </c>
      <c r="P22" s="186" t="s">
        <v>197</v>
      </c>
      <c r="Q22" s="187"/>
    </row>
    <row r="23" spans="2:17" x14ac:dyDescent="0.15">
      <c r="B23" s="13"/>
      <c r="C23" t="s">
        <v>256</v>
      </c>
      <c r="F23" s="188">
        <v>141</v>
      </c>
      <c r="G23" s="186" t="s">
        <v>248</v>
      </c>
      <c r="H23" s="186" t="s">
        <v>199</v>
      </c>
      <c r="I23" s="189">
        <f>'利用が想定される中小企業(専門・技術サービス業)'!F11*'利用が想定される中小企業(専門・技術サービス業)'!F8</f>
        <v>80</v>
      </c>
      <c r="J23" s="186" t="s">
        <v>219</v>
      </c>
      <c r="K23" s="186" t="s">
        <v>195</v>
      </c>
      <c r="L23" s="189">
        <v>3600</v>
      </c>
      <c r="M23" s="186" t="s">
        <v>249</v>
      </c>
      <c r="N23" s="186" t="s">
        <v>196</v>
      </c>
      <c r="O23" s="191">
        <f>F23*I23/L23</f>
        <v>3.1333333333333333</v>
      </c>
      <c r="P23" s="186" t="s">
        <v>197</v>
      </c>
      <c r="Q23" s="187"/>
    </row>
    <row r="24" spans="2:17" x14ac:dyDescent="0.15">
      <c r="B24" s="13"/>
      <c r="C24" t="s">
        <v>257</v>
      </c>
      <c r="F24" s="188">
        <v>11</v>
      </c>
      <c r="G24" s="186" t="s">
        <v>248</v>
      </c>
      <c r="H24" s="186" t="s">
        <v>199</v>
      </c>
      <c r="I24" s="189">
        <f>'利用が想定される中小企業(専門・技術サービス業)'!F12*'利用が想定される中小企業(専門・技術サービス業)'!F11*'利用が想定される中小企業(専門・技術サービス業)'!F8</f>
        <v>2400</v>
      </c>
      <c r="J24" s="186" t="s">
        <v>219</v>
      </c>
      <c r="K24" s="186" t="s">
        <v>195</v>
      </c>
      <c r="L24" s="189">
        <v>3600</v>
      </c>
      <c r="M24" s="186" t="s">
        <v>249</v>
      </c>
      <c r="N24" s="186" t="s">
        <v>196</v>
      </c>
      <c r="O24" s="191">
        <f>F24*I24/L24</f>
        <v>7.333333333333333</v>
      </c>
      <c r="P24" s="186" t="s">
        <v>197</v>
      </c>
      <c r="Q24" s="187"/>
    </row>
    <row r="25" spans="2:17" x14ac:dyDescent="0.15">
      <c r="B25" s="13"/>
      <c r="C25" t="s">
        <v>258</v>
      </c>
      <c r="F25" s="189">
        <v>540</v>
      </c>
      <c r="G25" s="186" t="s">
        <v>248</v>
      </c>
      <c r="H25" s="186" t="s">
        <v>199</v>
      </c>
      <c r="I25" s="189">
        <f>'利用が想定される中小企業(専門・技術サービス業)'!F8</f>
        <v>8</v>
      </c>
      <c r="J25" s="186" t="s">
        <v>219</v>
      </c>
      <c r="K25" s="186" t="s">
        <v>195</v>
      </c>
      <c r="L25" s="189">
        <v>3600</v>
      </c>
      <c r="M25" s="186" t="s">
        <v>249</v>
      </c>
      <c r="N25" s="186" t="s">
        <v>196</v>
      </c>
      <c r="O25" s="191">
        <f>F25*I25/L25</f>
        <v>1.2</v>
      </c>
      <c r="P25" s="186" t="s">
        <v>197</v>
      </c>
      <c r="Q25" s="187"/>
    </row>
    <row r="26" spans="2:17" x14ac:dyDescent="0.15">
      <c r="B26" s="13"/>
      <c r="C26" s="3" t="s">
        <v>259</v>
      </c>
      <c r="D26" s="3"/>
      <c r="E26" s="3"/>
      <c r="F26" s="197">
        <f>IF(自動追尾機能="有",0,9)</f>
        <v>9</v>
      </c>
      <c r="G26" s="193" t="s">
        <v>248</v>
      </c>
      <c r="H26" s="193" t="s">
        <v>199</v>
      </c>
      <c r="I26" s="194">
        <f>'利用が想定される中小企業(専門・技術サービス業)'!F12*'利用が想定される中小企業(専門・技術サービス業)'!F11*'利用が想定される中小企業(専門・技術サービス業)'!F8</f>
        <v>2400</v>
      </c>
      <c r="J26" s="193" t="s">
        <v>219</v>
      </c>
      <c r="K26" s="193" t="s">
        <v>195</v>
      </c>
      <c r="L26" s="194">
        <v>3600</v>
      </c>
      <c r="M26" s="193" t="s">
        <v>249</v>
      </c>
      <c r="N26" s="193" t="s">
        <v>196</v>
      </c>
      <c r="O26" s="198">
        <f>F26*I26/L26</f>
        <v>6</v>
      </c>
      <c r="P26" s="193" t="s">
        <v>197</v>
      </c>
      <c r="Q26" s="187"/>
    </row>
    <row r="27" spans="2:17" x14ac:dyDescent="0.15">
      <c r="B27" s="13"/>
      <c r="C27" t="s">
        <v>200</v>
      </c>
      <c r="F27" s="186"/>
      <c r="G27" s="186"/>
      <c r="H27" s="186"/>
      <c r="I27" s="186"/>
      <c r="J27" s="186"/>
      <c r="K27" s="186"/>
      <c r="L27" s="186"/>
      <c r="M27" s="186"/>
      <c r="N27" s="186"/>
      <c r="O27" s="199">
        <f>SUM(O22:O26)</f>
        <v>18.666666666666664</v>
      </c>
      <c r="P27" s="186" t="s">
        <v>197</v>
      </c>
      <c r="Q27" s="187"/>
    </row>
    <row r="28" spans="2:17" x14ac:dyDescent="0.15">
      <c r="B28" s="13"/>
      <c r="C28" t="s">
        <v>260</v>
      </c>
      <c r="F28" s="186"/>
      <c r="G28" s="186"/>
      <c r="H28" s="186"/>
      <c r="I28" s="186"/>
      <c r="J28" s="186"/>
      <c r="K28" s="186"/>
      <c r="L28" s="186"/>
      <c r="M28" s="186"/>
      <c r="N28" s="186"/>
      <c r="O28" s="196"/>
      <c r="P28" s="186"/>
      <c r="Q28" s="187"/>
    </row>
    <row r="29" spans="2:17" ht="14.25" thickBot="1" x14ac:dyDescent="0.2">
      <c r="B29" s="13"/>
      <c r="F29" s="186"/>
      <c r="G29" s="186"/>
      <c r="H29" s="186"/>
      <c r="I29" s="186"/>
      <c r="J29" s="186"/>
      <c r="K29" s="186"/>
      <c r="L29" s="186"/>
      <c r="M29" s="186"/>
      <c r="N29" s="186"/>
      <c r="O29" s="196"/>
      <c r="P29" s="186"/>
      <c r="Q29" s="187"/>
    </row>
    <row r="30" spans="2:17" ht="14.25" thickBot="1" x14ac:dyDescent="0.2">
      <c r="B30" s="13"/>
      <c r="C30" s="8" t="s">
        <v>327</v>
      </c>
      <c r="D30" s="8"/>
      <c r="E30" s="6" t="s">
        <v>261</v>
      </c>
      <c r="F30" s="191">
        <f>O19</f>
        <v>75.688888888888897</v>
      </c>
      <c r="G30" s="186" t="s">
        <v>197</v>
      </c>
      <c r="H30" s="186" t="s">
        <v>44</v>
      </c>
      <c r="I30" s="191">
        <f>O27</f>
        <v>18.666666666666664</v>
      </c>
      <c r="J30" s="200" t="s">
        <v>333</v>
      </c>
      <c r="K30" s="186" t="s">
        <v>195</v>
      </c>
      <c r="L30" s="191">
        <f>O19</f>
        <v>75.688888888888897</v>
      </c>
      <c r="M30" s="186" t="s">
        <v>197</v>
      </c>
      <c r="N30" s="186" t="s">
        <v>201</v>
      </c>
      <c r="O30" s="201">
        <f>(F30-I30)/L30</f>
        <v>0.75337639459776873</v>
      </c>
      <c r="P30" s="186" t="s">
        <v>202</v>
      </c>
      <c r="Q30" s="187"/>
    </row>
    <row r="31" spans="2:17" x14ac:dyDescent="0.15">
      <c r="B31" s="13"/>
      <c r="C31" s="28" t="s">
        <v>203</v>
      </c>
      <c r="D31" s="28"/>
      <c r="F31" s="186"/>
      <c r="G31" s="186"/>
      <c r="H31" s="186"/>
      <c r="I31" s="186"/>
      <c r="J31" s="186"/>
      <c r="K31" s="186"/>
      <c r="L31" s="186"/>
      <c r="M31" s="186"/>
      <c r="N31" s="186"/>
      <c r="O31" s="186"/>
      <c r="P31" s="186"/>
      <c r="Q31" s="187"/>
    </row>
    <row r="32" spans="2:17" ht="14.25" thickBot="1" x14ac:dyDescent="0.2">
      <c r="B32" s="13"/>
      <c r="C32" s="28"/>
      <c r="D32" s="28"/>
      <c r="F32" s="186"/>
      <c r="G32" s="186"/>
      <c r="H32" s="186"/>
      <c r="I32" s="186"/>
      <c r="J32" s="186"/>
      <c r="K32" s="186"/>
      <c r="L32" s="186"/>
      <c r="M32" s="186"/>
      <c r="N32" s="186"/>
      <c r="O32" s="186"/>
      <c r="P32" s="186"/>
      <c r="Q32" s="187"/>
    </row>
    <row r="33" spans="2:24" ht="14.25" thickBot="1" x14ac:dyDescent="0.2">
      <c r="B33" s="13"/>
      <c r="C33" s="28" t="s">
        <v>204</v>
      </c>
      <c r="D33" s="28"/>
      <c r="F33" s="186"/>
      <c r="G33" s="186"/>
      <c r="H33" s="186"/>
      <c r="I33" s="186"/>
      <c r="J33" s="186"/>
      <c r="K33" s="186"/>
      <c r="L33" s="186"/>
      <c r="M33" s="186"/>
      <c r="N33" s="186"/>
      <c r="O33" s="202" t="str">
        <f>IF(O30&gt;=0.2,"適格","不適")</f>
        <v>適格</v>
      </c>
      <c r="P33" s="186"/>
      <c r="Q33" s="187"/>
    </row>
    <row r="34" spans="2:24" x14ac:dyDescent="0.15">
      <c r="B34" s="15"/>
      <c r="C34" s="19"/>
      <c r="D34" s="151"/>
      <c r="E34" s="3"/>
      <c r="F34" s="193"/>
      <c r="G34" s="193"/>
      <c r="H34" s="193"/>
      <c r="I34" s="193"/>
      <c r="J34" s="193"/>
      <c r="K34" s="193"/>
      <c r="L34" s="193"/>
      <c r="M34" s="193"/>
      <c r="N34" s="193"/>
      <c r="O34" s="193"/>
      <c r="P34" s="193"/>
      <c r="Q34" s="203"/>
    </row>
    <row r="35" spans="2:24" x14ac:dyDescent="0.15">
      <c r="F35" s="186"/>
      <c r="G35" s="186"/>
      <c r="H35" s="186"/>
      <c r="I35" s="186"/>
      <c r="J35" s="186"/>
      <c r="K35" s="186"/>
      <c r="L35" s="186"/>
      <c r="M35" s="186"/>
      <c r="N35" s="186"/>
      <c r="O35" s="186"/>
      <c r="P35" s="186"/>
      <c r="Q35" s="152"/>
      <c r="X35" s="9"/>
    </row>
    <row r="36" spans="2:24" ht="17.25" x14ac:dyDescent="0.15">
      <c r="B36" s="10"/>
      <c r="C36" s="18" t="s">
        <v>205</v>
      </c>
      <c r="D36" s="18"/>
      <c r="E36" s="11"/>
      <c r="F36" s="204"/>
      <c r="G36" s="204"/>
      <c r="H36" s="204"/>
      <c r="I36" s="204"/>
      <c r="J36" s="204"/>
      <c r="K36" s="204"/>
      <c r="L36" s="204"/>
      <c r="M36" s="204"/>
      <c r="N36" s="204"/>
      <c r="O36" s="204"/>
      <c r="P36" s="204"/>
      <c r="Q36" s="185"/>
    </row>
    <row r="37" spans="2:24" ht="14.25" thickBot="1" x14ac:dyDescent="0.2">
      <c r="B37" s="13"/>
      <c r="F37" s="186"/>
      <c r="G37" s="186"/>
      <c r="H37" s="186"/>
      <c r="I37" s="186"/>
      <c r="J37" s="186"/>
      <c r="K37" s="186"/>
      <c r="L37" s="186"/>
      <c r="M37" s="186"/>
      <c r="N37" s="186"/>
      <c r="O37" s="186"/>
      <c r="P37" s="186"/>
      <c r="Q37" s="187"/>
    </row>
    <row r="38" spans="2:24" ht="14.25" thickBot="1" x14ac:dyDescent="0.2">
      <c r="B38" s="13"/>
      <c r="C38" t="s">
        <v>206</v>
      </c>
      <c r="F38" s="186"/>
      <c r="G38" s="186"/>
      <c r="H38" s="186"/>
      <c r="I38" s="186"/>
      <c r="J38" s="186"/>
      <c r="K38" s="186"/>
      <c r="L38" s="186"/>
      <c r="M38" s="186"/>
      <c r="N38" s="186"/>
      <c r="O38" s="205">
        <f>機器費用/1000</f>
        <v>0</v>
      </c>
      <c r="P38" s="186" t="s">
        <v>207</v>
      </c>
      <c r="Q38" s="187"/>
    </row>
    <row r="39" spans="2:24" ht="14.25" thickBot="1" x14ac:dyDescent="0.2">
      <c r="B39" s="13"/>
      <c r="C39" s="3" t="s">
        <v>325</v>
      </c>
      <c r="D39" s="3"/>
      <c r="E39" s="3"/>
      <c r="F39" s="193"/>
      <c r="G39" s="193"/>
      <c r="H39" s="193"/>
      <c r="I39" s="193"/>
      <c r="J39" s="193"/>
      <c r="K39" s="193"/>
      <c r="L39" s="193"/>
      <c r="M39" s="193"/>
      <c r="N39" s="193"/>
      <c r="O39" s="206">
        <f>設定費用/1000</f>
        <v>0</v>
      </c>
      <c r="P39" s="193" t="s">
        <v>207</v>
      </c>
      <c r="Q39" s="187"/>
    </row>
    <row r="40" spans="2:24" x14ac:dyDescent="0.15">
      <c r="B40" s="13"/>
      <c r="C40" t="s">
        <v>262</v>
      </c>
      <c r="F40" s="186"/>
      <c r="G40" s="186"/>
      <c r="H40" s="186"/>
      <c r="I40" s="186"/>
      <c r="J40" s="186"/>
      <c r="K40" s="186"/>
      <c r="L40" s="186"/>
      <c r="M40" s="186"/>
      <c r="N40" s="186"/>
      <c r="O40" s="207">
        <f>SUM(O38:O39)</f>
        <v>0</v>
      </c>
      <c r="P40" s="186" t="s">
        <v>209</v>
      </c>
      <c r="Q40" s="187"/>
    </row>
    <row r="41" spans="2:24" x14ac:dyDescent="0.15">
      <c r="B41" s="13"/>
      <c r="F41" s="186"/>
      <c r="G41" s="186"/>
      <c r="H41" s="186"/>
      <c r="I41" s="186"/>
      <c r="J41" s="186"/>
      <c r="K41" s="186"/>
      <c r="L41" s="186"/>
      <c r="M41" s="186"/>
      <c r="N41" s="186"/>
      <c r="O41" s="208"/>
      <c r="P41" s="186"/>
      <c r="Q41" s="187"/>
      <c r="V41" s="152"/>
    </row>
    <row r="42" spans="2:24" x14ac:dyDescent="0.15">
      <c r="B42" s="13"/>
      <c r="C42" t="s">
        <v>210</v>
      </c>
      <c r="F42" s="209">
        <f>'利用が想定される中小企業(専門・技術サービス業)'!$F$3</f>
        <v>2.0339999999999998</v>
      </c>
      <c r="G42" s="186" t="s">
        <v>263</v>
      </c>
      <c r="H42" s="186" t="s">
        <v>199</v>
      </c>
      <c r="I42" s="210">
        <f>(O19-O27)/'利用が想定される中小企業(専門・技術サービス業)'!F14</f>
        <v>7.1277777777777791</v>
      </c>
      <c r="J42" s="186" t="s">
        <v>208</v>
      </c>
      <c r="K42" s="186" t="s">
        <v>199</v>
      </c>
      <c r="L42" s="189">
        <f>'利用が想定される中小企業(専門・技術サービス業)'!F9</f>
        <v>150</v>
      </c>
      <c r="M42" s="186" t="s">
        <v>211</v>
      </c>
      <c r="N42" s="186" t="s">
        <v>196</v>
      </c>
      <c r="O42" s="207">
        <f>F42*I42*L42</f>
        <v>2174.6850000000004</v>
      </c>
      <c r="P42" s="186" t="s">
        <v>212</v>
      </c>
      <c r="Q42" s="187"/>
    </row>
    <row r="43" spans="2:24" x14ac:dyDescent="0.15">
      <c r="B43" s="13"/>
      <c r="C43" s="3" t="s">
        <v>213</v>
      </c>
      <c r="D43" s="3"/>
      <c r="E43" s="3"/>
      <c r="F43" s="211"/>
      <c r="G43" s="211"/>
      <c r="H43" s="211"/>
      <c r="I43" s="212">
        <f>'利用が想定される中小企業(専門・技術サービス業)'!$F$4</f>
        <v>825</v>
      </c>
      <c r="J43" s="193" t="s">
        <v>214</v>
      </c>
      <c r="K43" s="193" t="s">
        <v>199</v>
      </c>
      <c r="L43" s="213">
        <f>(O19-O27)/8/'利用が想定される中小企業(専門・技術サービス業)'!F14</f>
        <v>0.89097222222222239</v>
      </c>
      <c r="M43" s="193" t="s">
        <v>264</v>
      </c>
      <c r="N43" s="193" t="s">
        <v>196</v>
      </c>
      <c r="O43" s="214">
        <f>I43*L43</f>
        <v>735.05208333333348</v>
      </c>
      <c r="P43" s="193" t="s">
        <v>212</v>
      </c>
      <c r="Q43" s="187"/>
    </row>
    <row r="44" spans="2:24" x14ac:dyDescent="0.15">
      <c r="B44" s="13"/>
      <c r="C44" t="s">
        <v>215</v>
      </c>
      <c r="F44" s="186"/>
      <c r="G44" s="186"/>
      <c r="H44" s="186"/>
      <c r="I44" s="215"/>
      <c r="J44" s="186"/>
      <c r="K44" s="186"/>
      <c r="L44" s="186"/>
      <c r="M44" s="186"/>
      <c r="N44" s="186"/>
      <c r="O44" s="207">
        <f>SUM(O42:O43)</f>
        <v>2909.7370833333339</v>
      </c>
      <c r="P44" s="186"/>
      <c r="Q44" s="187"/>
    </row>
    <row r="45" spans="2:24" ht="14.25" thickBot="1" x14ac:dyDescent="0.2">
      <c r="B45" s="13"/>
      <c r="F45" s="186"/>
      <c r="G45" s="186"/>
      <c r="H45" s="186"/>
      <c r="I45" s="186"/>
      <c r="J45" s="186"/>
      <c r="K45" s="186"/>
      <c r="L45" s="186"/>
      <c r="M45" s="186"/>
      <c r="N45" s="186"/>
      <c r="O45" s="208"/>
      <c r="P45" s="186"/>
      <c r="Q45" s="187"/>
    </row>
    <row r="46" spans="2:24" ht="14.25" thickBot="1" x14ac:dyDescent="0.2">
      <c r="B46" s="13"/>
      <c r="C46" s="8" t="s">
        <v>216</v>
      </c>
      <c r="D46" s="8"/>
      <c r="F46" s="152"/>
      <c r="G46" s="186"/>
      <c r="H46" s="186"/>
      <c r="I46" s="207">
        <f>O40</f>
        <v>0</v>
      </c>
      <c r="J46" s="186" t="s">
        <v>209</v>
      </c>
      <c r="K46" s="186" t="s">
        <v>195</v>
      </c>
      <c r="L46" s="207">
        <f>O44</f>
        <v>2909.7370833333339</v>
      </c>
      <c r="M46" s="186" t="s">
        <v>212</v>
      </c>
      <c r="N46" s="186" t="s">
        <v>196</v>
      </c>
      <c r="O46" s="201">
        <f>IF(L46&lt;=0,0,I46/L46)</f>
        <v>0</v>
      </c>
      <c r="P46" s="186" t="s">
        <v>217</v>
      </c>
      <c r="Q46" s="187"/>
    </row>
    <row r="47" spans="2:24" x14ac:dyDescent="0.15">
      <c r="B47" s="13"/>
      <c r="C47" s="28" t="s">
        <v>218</v>
      </c>
      <c r="D47" s="8"/>
      <c r="F47" s="186"/>
      <c r="G47" s="186"/>
      <c r="H47" s="186"/>
      <c r="I47" s="216"/>
      <c r="J47" s="186"/>
      <c r="K47" s="186"/>
      <c r="L47" s="186"/>
      <c r="M47" s="186"/>
      <c r="N47" s="186"/>
      <c r="O47" s="196"/>
      <c r="P47" s="186"/>
      <c r="Q47" s="187"/>
    </row>
    <row r="48" spans="2:24" ht="14.25" thickBot="1" x14ac:dyDescent="0.2">
      <c r="B48" s="13"/>
      <c r="C48" s="28"/>
      <c r="D48" s="8"/>
      <c r="F48" s="186"/>
      <c r="G48" s="186"/>
      <c r="H48" s="186"/>
      <c r="I48" s="216"/>
      <c r="J48" s="186"/>
      <c r="K48" s="186"/>
      <c r="L48" s="186"/>
      <c r="M48" s="186"/>
      <c r="N48" s="186"/>
      <c r="O48" s="196"/>
      <c r="P48" s="186"/>
      <c r="Q48" s="187"/>
    </row>
    <row r="49" spans="2:18" ht="14.25" thickBot="1" x14ac:dyDescent="0.2">
      <c r="B49" s="13"/>
      <c r="C49" s="28" t="s">
        <v>204</v>
      </c>
      <c r="D49" s="8"/>
      <c r="F49" s="186"/>
      <c r="G49" s="186"/>
      <c r="H49" s="186"/>
      <c r="I49" s="216"/>
      <c r="J49" s="186"/>
      <c r="K49" s="186"/>
      <c r="L49" s="186"/>
      <c r="M49" s="186"/>
      <c r="N49" s="186"/>
      <c r="O49" s="201" t="str">
        <f>IF(AND(0&lt;O46,O46&lt;=6*80%),"適格","不適")</f>
        <v>不適</v>
      </c>
      <c r="P49" s="186"/>
      <c r="Q49" s="187"/>
    </row>
    <row r="50" spans="2:18" x14ac:dyDescent="0.15">
      <c r="B50" s="15"/>
      <c r="C50" s="19"/>
      <c r="D50" s="19"/>
      <c r="E50" s="3"/>
      <c r="F50" s="211"/>
      <c r="G50" s="211"/>
      <c r="H50" s="211"/>
      <c r="I50" s="211"/>
      <c r="J50" s="211"/>
      <c r="K50" s="211"/>
      <c r="L50" s="211"/>
      <c r="M50" s="211"/>
      <c r="N50" s="211"/>
      <c r="O50" s="211"/>
      <c r="P50" s="211"/>
      <c r="Q50" s="203"/>
    </row>
    <row r="51" spans="2:18" x14ac:dyDescent="0.15">
      <c r="R51" s="22" t="s">
        <v>16</v>
      </c>
    </row>
    <row r="52" spans="2:18" ht="5.25" customHeight="1" thickBot="1" x14ac:dyDescent="0.2">
      <c r="J52" s="10"/>
      <c r="K52" s="11"/>
      <c r="L52" s="11"/>
      <c r="M52" s="11"/>
      <c r="N52" s="11"/>
      <c r="O52" s="11"/>
      <c r="P52" s="11"/>
      <c r="Q52" s="12"/>
      <c r="R52" s="22"/>
    </row>
    <row r="53" spans="2:18" ht="18" thickBot="1" x14ac:dyDescent="0.2">
      <c r="J53" s="13"/>
      <c r="K53" s="220" t="s">
        <v>234</v>
      </c>
      <c r="O53" s="221" t="str">
        <f>IF(審1_専技大="適格",IF(審2_専技大="適格","〇","△"),"△")</f>
        <v>△</v>
      </c>
      <c r="Q53" s="14"/>
    </row>
    <row r="54" spans="2:18" ht="6" customHeight="1" x14ac:dyDescent="0.15">
      <c r="J54" s="15"/>
      <c r="K54" s="3"/>
      <c r="L54" s="3"/>
      <c r="M54" s="3"/>
      <c r="N54" s="3"/>
      <c r="O54" s="3"/>
      <c r="P54" s="3"/>
      <c r="Q54" s="16"/>
    </row>
  </sheetData>
  <sheetProtection algorithmName="SHA-512" hashValue="DN+l2AFtCtLqyqWm+rtq0N4vToT7Ww9HQtIVTVyIcjg+RTmoZLJH1DZw74BPMjYrVacCHFBm+SPlG/nLqJMqGg==" saltValue="z/hBmr87ZvKidmRc78ILYw==" spinCount="100000" sheet="1" objects="1" scenarios="1"/>
  <mergeCells count="5">
    <mergeCell ref="C2:P2"/>
    <mergeCell ref="N4:P4"/>
    <mergeCell ref="D6:M6"/>
    <mergeCell ref="D7:M7"/>
    <mergeCell ref="D11:H11"/>
  </mergeCells>
  <phoneticPr fontId="1"/>
  <pageMargins left="0.7" right="0.7" top="0.75" bottom="0.75" header="0.3" footer="0.3"/>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10DC-5305-4076-A000-A572D7A10E8D}">
  <sheetPr codeName="Sheet17"/>
  <dimension ref="A1:I31"/>
  <sheetViews>
    <sheetView showGridLines="0" zoomScaleNormal="100" workbookViewId="0"/>
  </sheetViews>
  <sheetFormatPr defaultRowHeight="13.5" x14ac:dyDescent="0.15"/>
  <cols>
    <col min="1" max="1" width="3.875" bestFit="1" customWidth="1"/>
    <col min="2" max="2" width="35.5" bestFit="1" customWidth="1"/>
    <col min="3" max="3" width="15.125" customWidth="1"/>
    <col min="4" max="6" width="12.625" customWidth="1"/>
    <col min="7" max="7" width="84.125" bestFit="1" customWidth="1"/>
  </cols>
  <sheetData>
    <row r="1" spans="1:9" s="4" customFormat="1" x14ac:dyDescent="0.15">
      <c r="A1" s="146"/>
      <c r="B1" s="147" t="s">
        <v>220</v>
      </c>
      <c r="C1" s="121" t="s">
        <v>221</v>
      </c>
      <c r="D1" s="153"/>
      <c r="E1" s="154" t="s">
        <v>265</v>
      </c>
      <c r="F1" s="155"/>
      <c r="G1" s="147" t="s">
        <v>222</v>
      </c>
    </row>
    <row r="2" spans="1:9" s="4" customFormat="1" x14ac:dyDescent="0.15">
      <c r="A2" s="156"/>
      <c r="B2" s="157"/>
      <c r="C2" s="158"/>
      <c r="D2" s="29" t="s">
        <v>148</v>
      </c>
      <c r="E2" s="29" t="s">
        <v>149</v>
      </c>
      <c r="F2" s="29" t="s">
        <v>150</v>
      </c>
      <c r="G2" s="157"/>
    </row>
    <row r="3" spans="1:9" ht="29.25" customHeight="1" x14ac:dyDescent="0.15">
      <c r="A3" s="159" t="s">
        <v>266</v>
      </c>
      <c r="B3" s="160" t="s">
        <v>267</v>
      </c>
      <c r="C3" s="161" t="s">
        <v>268</v>
      </c>
      <c r="D3" s="162">
        <v>2.0339999999999998</v>
      </c>
      <c r="E3" s="162">
        <v>2.0339999999999998</v>
      </c>
      <c r="F3" s="162">
        <v>2.0339999999999998</v>
      </c>
      <c r="G3" s="163" t="s">
        <v>269</v>
      </c>
    </row>
    <row r="4" spans="1:9" ht="29.25" customHeight="1" x14ac:dyDescent="0.15">
      <c r="A4" s="164" t="s">
        <v>270</v>
      </c>
      <c r="B4" s="165" t="s">
        <v>223</v>
      </c>
      <c r="C4" s="166" t="s">
        <v>271</v>
      </c>
      <c r="D4" s="167">
        <v>825</v>
      </c>
      <c r="E4" s="167">
        <v>825</v>
      </c>
      <c r="F4" s="167">
        <v>825</v>
      </c>
      <c r="G4" s="168" t="s">
        <v>272</v>
      </c>
    </row>
    <row r="5" spans="1:9" ht="29.25" customHeight="1" x14ac:dyDescent="0.15">
      <c r="A5" s="164" t="s">
        <v>273</v>
      </c>
      <c r="B5" s="165" t="s">
        <v>274</v>
      </c>
      <c r="C5" s="166" t="s">
        <v>275</v>
      </c>
      <c r="D5" s="167">
        <v>3</v>
      </c>
      <c r="E5" s="167">
        <v>12.89</v>
      </c>
      <c r="F5" s="167">
        <v>20.170000000000002</v>
      </c>
      <c r="G5" s="168" t="s">
        <v>309</v>
      </c>
      <c r="H5" s="13"/>
      <c r="I5" s="180"/>
    </row>
    <row r="6" spans="1:9" ht="29.25" customHeight="1" x14ac:dyDescent="0.15">
      <c r="A6" s="164" t="s">
        <v>277</v>
      </c>
      <c r="B6" s="165" t="s">
        <v>278</v>
      </c>
      <c r="C6" s="166" t="s">
        <v>275</v>
      </c>
      <c r="D6" s="167">
        <f>D5*0.7</f>
        <v>2.0999999999999996</v>
      </c>
      <c r="E6" s="167">
        <f t="shared" ref="E6:F6" si="0">E5*0.7</f>
        <v>9.0229999999999997</v>
      </c>
      <c r="F6" s="167">
        <f t="shared" si="0"/>
        <v>14.119</v>
      </c>
      <c r="G6" s="168" t="s">
        <v>310</v>
      </c>
    </row>
    <row r="7" spans="1:9" ht="29.25" customHeight="1" x14ac:dyDescent="0.15">
      <c r="A7" s="164" t="s">
        <v>280</v>
      </c>
      <c r="B7" s="165" t="s">
        <v>281</v>
      </c>
      <c r="C7" s="166" t="s">
        <v>282</v>
      </c>
      <c r="D7" s="167">
        <v>2</v>
      </c>
      <c r="E7" s="167">
        <v>2</v>
      </c>
      <c r="F7" s="167">
        <v>2</v>
      </c>
      <c r="G7" s="168" t="s">
        <v>283</v>
      </c>
    </row>
    <row r="8" spans="1:9" ht="29.25" customHeight="1" x14ac:dyDescent="0.15">
      <c r="A8" s="164" t="s">
        <v>284</v>
      </c>
      <c r="B8" s="165" t="s">
        <v>285</v>
      </c>
      <c r="C8" s="166" t="s">
        <v>286</v>
      </c>
      <c r="D8" s="167">
        <f>IF((D6/D7)&lt;1,ROUNDUP(D6/D7,0),ROUNDUP(D6/D7,0))</f>
        <v>2</v>
      </c>
      <c r="E8" s="167">
        <f t="shared" ref="E8:F8" si="1">IF((E6/E7)&lt;1,ROUNDUP(E6/E7,0),ROUNDUP(E6/E7,0))</f>
        <v>5</v>
      </c>
      <c r="F8" s="167">
        <f t="shared" si="1"/>
        <v>8</v>
      </c>
      <c r="G8" s="168"/>
    </row>
    <row r="9" spans="1:9" ht="29.25" customHeight="1" x14ac:dyDescent="0.15">
      <c r="A9" s="164" t="s">
        <v>287</v>
      </c>
      <c r="B9" s="165" t="s">
        <v>288</v>
      </c>
      <c r="C9" s="166" t="s">
        <v>289</v>
      </c>
      <c r="D9" s="169">
        <v>150</v>
      </c>
      <c r="E9" s="169">
        <v>150</v>
      </c>
      <c r="F9" s="169">
        <v>150</v>
      </c>
      <c r="G9" s="168" t="s">
        <v>311</v>
      </c>
      <c r="H9" s="28"/>
    </row>
    <row r="10" spans="1:9" ht="29.25" customHeight="1" x14ac:dyDescent="0.15">
      <c r="A10" s="164" t="s">
        <v>291</v>
      </c>
      <c r="B10" s="165" t="s">
        <v>292</v>
      </c>
      <c r="C10" s="166" t="s">
        <v>293</v>
      </c>
      <c r="D10" s="182">
        <f>D13*D11+0.3</f>
        <v>5.052777777777778</v>
      </c>
      <c r="E10" s="182">
        <f>E13*E11+0.3</f>
        <v>5.052777777777778</v>
      </c>
      <c r="F10" s="182">
        <f>F13*F11+0.3</f>
        <v>5.052777777777778</v>
      </c>
      <c r="G10" s="168" t="s">
        <v>290</v>
      </c>
      <c r="H10" s="28"/>
    </row>
    <row r="11" spans="1:9" ht="29.25" customHeight="1" x14ac:dyDescent="0.15">
      <c r="A11" s="164" t="s">
        <v>295</v>
      </c>
      <c r="B11" s="165" t="s">
        <v>296</v>
      </c>
      <c r="C11" s="166" t="s">
        <v>297</v>
      </c>
      <c r="D11" s="169">
        <v>10</v>
      </c>
      <c r="E11" s="169">
        <v>10</v>
      </c>
      <c r="F11" s="169">
        <v>10</v>
      </c>
      <c r="G11" s="168" t="s">
        <v>294</v>
      </c>
      <c r="H11" s="28"/>
    </row>
    <row r="12" spans="1:9" ht="29.25" customHeight="1" x14ac:dyDescent="0.15">
      <c r="A12" s="164" t="s">
        <v>298</v>
      </c>
      <c r="B12" s="165" t="s">
        <v>299</v>
      </c>
      <c r="C12" s="166" t="s">
        <v>300</v>
      </c>
      <c r="D12" s="169">
        <v>30</v>
      </c>
      <c r="E12" s="169">
        <v>30</v>
      </c>
      <c r="F12" s="169">
        <v>30</v>
      </c>
      <c r="G12" s="168" t="s">
        <v>294</v>
      </c>
      <c r="H12" s="28"/>
    </row>
    <row r="13" spans="1:9" ht="29.25" customHeight="1" x14ac:dyDescent="0.15">
      <c r="A13" s="164" t="s">
        <v>301</v>
      </c>
      <c r="B13" s="165" t="s">
        <v>302</v>
      </c>
      <c r="C13" s="166" t="s">
        <v>303</v>
      </c>
      <c r="D13" s="183">
        <v>0.4752777777777778</v>
      </c>
      <c r="E13" s="183">
        <v>0.4752777777777778</v>
      </c>
      <c r="F13" s="183">
        <v>0.4752777777777778</v>
      </c>
      <c r="G13" s="168" t="s">
        <v>304</v>
      </c>
      <c r="H13" s="28"/>
    </row>
    <row r="14" spans="1:9" ht="29.25" customHeight="1" x14ac:dyDescent="0.15">
      <c r="A14" s="170" t="s">
        <v>305</v>
      </c>
      <c r="B14" s="171" t="s">
        <v>306</v>
      </c>
      <c r="C14" s="172" t="s">
        <v>307</v>
      </c>
      <c r="D14" s="173">
        <f>D8</f>
        <v>2</v>
      </c>
      <c r="E14" s="173">
        <f>E8</f>
        <v>5</v>
      </c>
      <c r="F14" s="173">
        <f>F8</f>
        <v>8</v>
      </c>
      <c r="G14" s="174" t="s">
        <v>308</v>
      </c>
    </row>
    <row r="31" spans="4:4" x14ac:dyDescent="0.15">
      <c r="D31" s="175"/>
    </row>
  </sheetData>
  <sheetProtection algorithmName="SHA-512" hashValue="kyK/9i3zEzJCeydhjLO4Luewzdl8lj16mUfu6vs+JtLUSsyc9eNtqVER3EuC989yMCnM6nWO054LDSDUYYepLw==" saltValue="T/Uue+jFBC0XV2rGqdt0MA=="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549CD3E3-1774-463A-BD01-9B4C8DB4849B}"/>
</file>

<file path=customXml/itemProps3.xml><?xml version="1.0" encoding="utf-8"?>
<ds:datastoreItem xmlns:ds="http://schemas.openxmlformats.org/officeDocument/2006/customXml" ds:itemID="{D46BDFBE-7DCB-4587-B1BE-093F2072EF1E}">
  <ds:schemaRefs>
    <ds:schemaRef ds:uri="http://purl.org/dc/dcmitype/"/>
    <ds:schemaRef ds:uri="307f33d5-412e-42f7-880e-964369499a37"/>
    <ds:schemaRef ds:uri="http://purl.org/dc/elements/1.1/"/>
    <ds:schemaRef ds:uri="http://purl.org/dc/terms/"/>
    <ds:schemaRef ds:uri="http://schemas.microsoft.com/office/2006/documentManagement/types"/>
    <ds:schemaRef ds:uri="http://www.w3.org/XML/1998/namespace"/>
    <ds:schemaRef ds:uri="5096ed87-1394-41ba-9857-c6b625d49cbd"/>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79</vt:i4>
      </vt:variant>
    </vt:vector>
  </HeadingPairs>
  <TitlesOfParts>
    <vt:vector size="9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審査結果（建設業ー小規模）</vt:lpstr>
      <vt:lpstr>審査結果（建設業ー中規模）</vt:lpstr>
      <vt:lpstr>審査結果（建設業ー大規模）</vt:lpstr>
      <vt:lpstr>利用が想定される中小企業(建設業)</vt:lpstr>
      <vt:lpstr>審査結果（専門・技術サービス業ー小規模）</vt:lpstr>
      <vt:lpstr>審査結果（専門・技術サービス業ー中規模）</vt:lpstr>
      <vt:lpstr>審査結果（専門・技術サービス業ー大規模）</vt:lpstr>
      <vt:lpstr>利用が想定される中小企業(専門・技術サービス業)</vt:lpstr>
      <vt:lpstr>'①製品審査申請書（工業会用）'!Print_Area</vt:lpstr>
      <vt:lpstr>'②製品審査申請書（事務局用）'!Print_Area</vt:lpstr>
      <vt:lpstr>④省力化製品製造事業者登録申請書!Print_Area</vt:lpstr>
      <vt:lpstr>⑤提出書類一覧!Print_Area</vt:lpstr>
      <vt:lpstr>'審査結果（建設業ー小規模）'!Print_Area</vt:lpstr>
      <vt:lpstr>'審査結果（建設業ー大規模）'!Print_Area</vt:lpstr>
      <vt:lpstr>'審査結果（建設業ー中規模）'!Print_Area</vt:lpstr>
      <vt:lpstr>'審査結果（専門・技術サービス業ー小規模）'!Print_Area</vt:lpstr>
      <vt:lpstr>'審査結果（専門・技術サービス業ー大規模）'!Print_Area</vt:lpstr>
      <vt:lpstr>'審査結果（専門・技術サービス業ー中規模）'!Print_Area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業種</vt:lpstr>
      <vt:lpstr>型番</vt:lpstr>
      <vt:lpstr>工業会審査管理番号</vt:lpstr>
      <vt:lpstr>事業者URL</vt:lpstr>
      <vt:lpstr>事業者区分</vt:lpstr>
      <vt:lpstr>自動追尾機能</vt:lpstr>
      <vt:lpstr>所在地</vt:lpstr>
      <vt:lpstr>省指_建設小</vt:lpstr>
      <vt:lpstr>省指_建設大</vt:lpstr>
      <vt:lpstr>省指_建設中</vt:lpstr>
      <vt:lpstr>省指_専技小</vt:lpstr>
      <vt:lpstr>省指_専技大</vt:lpstr>
      <vt:lpstr>省指_専技中</vt:lpstr>
      <vt:lpstr>省力化機能パラメータ</vt:lpstr>
      <vt:lpstr>審1_建設小</vt:lpstr>
      <vt:lpstr>審1_建設大</vt:lpstr>
      <vt:lpstr>審1_建設中</vt:lpstr>
      <vt:lpstr>審1_専技小</vt:lpstr>
      <vt:lpstr>審1_専技大</vt:lpstr>
      <vt:lpstr>審1_専技中</vt:lpstr>
      <vt:lpstr>審2_建設小</vt:lpstr>
      <vt:lpstr>審2_建設大</vt:lpstr>
      <vt:lpstr>審2_建設中</vt:lpstr>
      <vt:lpstr>審2_専技小</vt:lpstr>
      <vt:lpstr>審2_専技大</vt:lpstr>
      <vt:lpstr>審2_専技中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総合判定_建設小</vt:lpstr>
      <vt:lpstr>総合判定_建設大</vt:lpstr>
      <vt:lpstr>総合判定_建設中</vt:lpstr>
      <vt:lpstr>総合判定_専技小</vt:lpstr>
      <vt:lpstr>総合判定_専技大</vt:lpstr>
      <vt:lpstr>総合判定_専技中</vt:lpstr>
      <vt:lpstr>投資_建設小</vt:lpstr>
      <vt:lpstr>投資_建設大</vt:lpstr>
      <vt:lpstr>投資_建設中</vt:lpstr>
      <vt:lpstr>投資_専技小</vt:lpstr>
      <vt:lpstr>投資_専技大</vt:lpstr>
      <vt:lpstr>投資_専技中</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2024-09-25T09:17:20Z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